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csdcloud-my.sharepoint.com/personal/aps-share_ucsd_edu/Documents/APS Shared Files/Compensation/"/>
    </mc:Choice>
  </mc:AlternateContent>
  <xr:revisionPtr revIDLastSave="8" documentId="8_{D90671CB-1576-43EB-BC4D-0775A4BD25A6}" xr6:coauthVersionLast="47" xr6:coauthVersionMax="47" xr10:uidLastSave="{C0DB8D94-3F63-45B9-BB70-304478214489}"/>
  <bookViews>
    <workbookView xWindow="-28920" yWindow="-120" windowWidth="29040" windowHeight="15840" activeTab="1" xr2:uid="{00000000-000D-0000-FFFF-FFFF00000000}"/>
  </bookViews>
  <sheets>
    <sheet name="Instructions" sheetId="10" r:id="rId1"/>
    <sheet name="9 over12 Qtr Comp Calculator" sheetId="6" r:id="rId2"/>
    <sheet name="9 over 9 Qtr Comp Calculator" sheetId="9" r:id="rId3"/>
    <sheet name="Payroll Working Days" sheetId="2" r:id="rId4"/>
    <sheet name="Service Period Dropdown Inf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9" l="1"/>
  <c r="C40" i="9"/>
  <c r="B40" i="9"/>
  <c r="D37" i="9"/>
  <c r="C37" i="9"/>
  <c r="B37" i="9"/>
  <c r="B9" i="9"/>
  <c r="B8" i="9"/>
  <c r="F40" i="6"/>
  <c r="E40" i="6"/>
  <c r="D40" i="6"/>
  <c r="C40" i="6"/>
  <c r="F37" i="6"/>
  <c r="E37" i="6"/>
  <c r="D37" i="6"/>
  <c r="C37" i="6"/>
  <c r="C9" i="6"/>
  <c r="C8" i="6"/>
  <c r="D20" i="9" l="1"/>
  <c r="E20" i="6"/>
  <c r="D27" i="9"/>
  <c r="C26" i="2"/>
  <c r="C31" i="2"/>
  <c r="C30" i="2"/>
  <c r="C28" i="2"/>
  <c r="C27" i="2"/>
  <c r="B32" i="9" l="1"/>
  <c r="C38" i="9" s="1"/>
  <c r="D23" i="9"/>
  <c r="D17" i="9"/>
  <c r="D14" i="9"/>
  <c r="D11" i="9"/>
  <c r="D8" i="9"/>
  <c r="D29" i="9" l="1"/>
  <c r="E20" i="9" s="1"/>
  <c r="F20" i="9" s="1"/>
  <c r="D38" i="9"/>
  <c r="C39" i="9"/>
  <c r="D39" i="9"/>
  <c r="B33" i="9"/>
  <c r="B38" i="9"/>
  <c r="B39" i="9"/>
  <c r="E17" i="6"/>
  <c r="E14" i="6"/>
  <c r="E11" i="9" l="1"/>
  <c r="E8" i="9"/>
  <c r="F8" i="9" s="1"/>
  <c r="E14" i="9"/>
  <c r="F14" i="9" s="1"/>
  <c r="E17" i="9"/>
  <c r="F17" i="9" s="1"/>
  <c r="B31" i="9"/>
  <c r="B43" i="9" s="1"/>
  <c r="E23" i="9"/>
  <c r="F23" i="9" s="1"/>
  <c r="F11" i="9" l="1"/>
  <c r="F25" i="9" s="1"/>
  <c r="E25" i="9"/>
  <c r="B41" i="9"/>
  <c r="B44" i="9" s="1"/>
  <c r="C41" i="9"/>
  <c r="C32" i="6"/>
  <c r="E38" i="6" s="1"/>
  <c r="E27" i="6"/>
  <c r="E23" i="6"/>
  <c r="E11" i="6"/>
  <c r="E8" i="6"/>
  <c r="E29" i="6" l="1"/>
  <c r="F14" i="6" s="1"/>
  <c r="B42" i="9"/>
  <c r="C44" i="9"/>
  <c r="C42" i="9"/>
  <c r="C43" i="9"/>
  <c r="C38" i="6"/>
  <c r="C39" i="6"/>
  <c r="F39" i="6"/>
  <c r="C33" i="6"/>
  <c r="D38" i="6"/>
  <c r="D39" i="6"/>
  <c r="E39" i="6"/>
  <c r="F38" i="6"/>
  <c r="C31" i="6" l="1"/>
  <c r="D41" i="9"/>
  <c r="D43" i="9" s="1"/>
  <c r="F17" i="6"/>
  <c r="G17" i="6" s="1"/>
  <c r="F8" i="6"/>
  <c r="G8" i="6" s="1"/>
  <c r="F23" i="6"/>
  <c r="G23" i="6" s="1"/>
  <c r="F20" i="6"/>
  <c r="F11" i="6"/>
  <c r="G14" i="6"/>
  <c r="F25" i="6" l="1"/>
  <c r="D31" i="6"/>
  <c r="C41" i="6"/>
  <c r="C44" i="6" s="1"/>
  <c r="D44" i="9"/>
  <c r="D42" i="9"/>
  <c r="G20" i="6"/>
  <c r="G11" i="6"/>
  <c r="G25" i="6" l="1"/>
  <c r="C43" i="6"/>
  <c r="D41" i="6" s="1"/>
  <c r="D42" i="6" s="1"/>
  <c r="C42" i="6"/>
  <c r="D43" i="6" l="1"/>
  <c r="E41" i="6" s="1"/>
  <c r="E42" i="6" s="1"/>
  <c r="D44" i="6"/>
  <c r="E43" i="6" l="1"/>
  <c r="F41" i="6" s="1"/>
  <c r="F42" i="6" s="1"/>
  <c r="E44" i="6"/>
  <c r="F44" i="6" l="1"/>
  <c r="F43" i="6"/>
</calcChain>
</file>

<file path=xl/sharedStrings.xml><?xml version="1.0" encoding="utf-8"?>
<sst xmlns="http://schemas.openxmlformats.org/spreadsheetml/2006/main" count="257" uniqueCount="142">
  <si>
    <t>Service Period Dates</t>
  </si>
  <si>
    <t>Start</t>
  </si>
  <si>
    <t>End</t>
  </si>
  <si>
    <t>Quarterly Rate:</t>
  </si>
  <si>
    <t>Amount Earned:</t>
  </si>
  <si>
    <t>Payroll Days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</si>
  <si>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</si>
  <si>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</si>
  <si>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</si>
  <si>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</si>
  <si>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</si>
  <si>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</si>
  <si>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</si>
  <si>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</si>
  <si>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</si>
  <si>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</si>
  <si>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</si>
  <si>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</si>
  <si>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</si>
  <si>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</t>
  </si>
  <si>
    <t>Month Affected 1</t>
  </si>
  <si>
    <t>Month 2</t>
  </si>
  <si>
    <t>Month 3</t>
  </si>
  <si>
    <t>Month 4</t>
  </si>
  <si>
    <t>Payroll Outcome by Month:</t>
  </si>
  <si>
    <t>Only manually insert information into YELLOW BOXES</t>
  </si>
  <si>
    <t>Employee Annual Salary:</t>
  </si>
  <si>
    <t>Qtr Working Days:</t>
  </si>
  <si>
    <t>Net LWP Days</t>
  </si>
  <si>
    <t>Net LWOP Days:</t>
  </si>
  <si>
    <t>Service Period LWOP Dates</t>
  </si>
  <si>
    <t>Service Period LwP Dates</t>
  </si>
  <si>
    <t>Working Days</t>
  </si>
  <si>
    <t>TOTAL QTR COMP</t>
  </si>
  <si>
    <t>% time for QTR:</t>
  </si>
  <si>
    <t>Monthly 9/9 Gross for ACTUAL %:</t>
  </si>
  <si>
    <t>Daily Rate @100%:</t>
  </si>
  <si>
    <t>Monthly 9/12 Gross for ACTUAL %:</t>
  </si>
  <si>
    <t>Instructions</t>
  </si>
  <si>
    <t>Fall 9/12--(July, August, Sept., Oct.), Fall 9/9 (October, November, December)</t>
  </si>
  <si>
    <t>Winter 9/12 (November, December, January, February), OR Winter 9/9 (January, February, March)</t>
  </si>
  <si>
    <t>Spring 9/12 (March, April, May, June), OR Spring 9/9 (April, May, June)</t>
  </si>
  <si>
    <t>payroll dates MM/DD/YY-MM/DD/YY. (If no service dates worked then only provide pay dates.)</t>
  </si>
  <si>
    <t>Annual salary $______, ___%, quarterly rate $______, PAYROLL Daily Rate $_____</t>
  </si>
  <si>
    <t xml:space="preserve">[calculated payroll dates].  </t>
  </si>
  <si>
    <t xml:space="preserve">Working Dates if Pre-Leave or Post Leave </t>
  </si>
  <si>
    <t>Payroll Days Affected</t>
  </si>
  <si>
    <t>2nd LWOP portion (if applicable)</t>
  </si>
  <si>
    <t>Net LWOP Days</t>
  </si>
  <si>
    <t>Adjust chart as needed with actual payroll calendars available online</t>
  </si>
  <si>
    <t>http://blink.ucsd.edu/finance/payroll/calendars.html</t>
  </si>
  <si>
    <t>Feel free to delete this tab if consulting the hyperlink with each event</t>
  </si>
  <si>
    <t>e.g.</t>
  </si>
  <si>
    <t>Payroll calendars are available here.</t>
  </si>
  <si>
    <t xml:space="preserve">AFFECTS PAY: Pay exactly $(partial quarter $ calculation) for service provided on MM/DD/YY -MM/DD/YY, </t>
  </si>
  <si>
    <t>WHEN WHOLE QUARTER IS COMPENSATED BUT PART IS A LEAVE WITH PAY:</t>
  </si>
  <si>
    <t>Compensation not yet received</t>
  </si>
  <si>
    <t>Payroll Gross Monthly Comp</t>
  </si>
  <si>
    <t>QUARTER PAY MONTHS AFFECTED:</t>
  </si>
  <si>
    <t>If there is a Leave with Pay (LWP) component, enter the actual leave start and end dates in cells C9 and C10</t>
  </si>
  <si>
    <t>Enter the employee's percent time for the affected quarter</t>
  </si>
  <si>
    <t>Section II: Daily Rate Calculation:</t>
  </si>
  <si>
    <t>Section I: Actual Dates of Leaves/Change of Status</t>
  </si>
  <si>
    <t>If 100%,  payroll</t>
  </si>
  <si>
    <t>Gross to comp</t>
  </si>
  <si>
    <t>Actual gross</t>
  </si>
  <si>
    <t>per empl % time</t>
  </si>
  <si>
    <t>Monthly 9/12 Gross if @100%</t>
  </si>
  <si>
    <t>Monthly 9/9 Gross if @100%</t>
  </si>
  <si>
    <t>IF 100% 9/9 Payroll Day Rate:</t>
  </si>
  <si>
    <t>ACTUAL Payroll 9/9 Day Rate by EMPL%:</t>
  </si>
  <si>
    <t>Payroll 100% Payroll 9/12 Day Rate:</t>
  </si>
  <si>
    <t>ACTUAL 9/12 Payroll Day Rate by appt%:</t>
  </si>
  <si>
    <t>Section III: Payroll (PPS) Leave Dates Determination</t>
  </si>
  <si>
    <t xml:space="preserve">FML [or non-FML] Leave with pay from [actual leave dates], with payroll dates of </t>
  </si>
  <si>
    <t>9 Over 12 Leaves and Daily Rate Calculator</t>
  </si>
  <si>
    <t>9 Over 9 Leaves and Daily Rate Calendar</t>
  </si>
  <si>
    <t xml:space="preserve">employees do not need a conversion tool because pay and service dates directly correlate. </t>
  </si>
  <si>
    <t>NOTE: This tool is for calculating service to pay date translations for leaves only.  It cannot be</t>
  </si>
  <si>
    <t>Nov</t>
  </si>
  <si>
    <t>Dec</t>
  </si>
  <si>
    <t>Feb</t>
  </si>
  <si>
    <t xml:space="preserve">Data from current calendars </t>
  </si>
  <si>
    <t>Quarter Impacted:</t>
  </si>
  <si>
    <t>WI23</t>
  </si>
  <si>
    <t>SP23</t>
  </si>
  <si>
    <t>FA23</t>
  </si>
  <si>
    <t>WI24</t>
  </si>
  <si>
    <t>SP24</t>
  </si>
  <si>
    <t>Qtr</t>
  </si>
  <si>
    <t>Service Start</t>
  </si>
  <si>
    <t>Service End</t>
  </si>
  <si>
    <t>PayPerMo1</t>
  </si>
  <si>
    <t>PayPerMo2</t>
  </si>
  <si>
    <t>PayPerMo3</t>
  </si>
  <si>
    <t>PayPerMo4</t>
  </si>
  <si>
    <t>Sept</t>
  </si>
  <si>
    <t>Oct</t>
  </si>
  <si>
    <t xml:space="preserve"> Jan</t>
  </si>
  <si>
    <t>Mar</t>
  </si>
  <si>
    <t>Apr</t>
  </si>
  <si>
    <t>If there are Leave without Pay (LWOP) components, enter all applicable information, including working days.</t>
  </si>
  <si>
    <t>only the leave with pay dates (C9,C10) so that you can see which payroll days to use for the leave entry.</t>
  </si>
  <si>
    <t>Enter the employee's annual salary.</t>
  </si>
  <si>
    <t>WHEN ANY PART OF THE QUARTER IS NOT COMPENSATED, be explicit in your UCPath comments.</t>
  </si>
  <si>
    <t>Quarter Impacted</t>
  </si>
  <si>
    <t>Jan</t>
  </si>
  <si>
    <t xml:space="preserve">Where "ALL PAY" is outcome, payroll leave dates include full month.  Where "MANUAL TRANS" appears, convert rounded day count </t>
  </si>
  <si>
    <t>with your actual calendar's working days to determine when different status starts</t>
  </si>
  <si>
    <t xml:space="preserve">Working Dates if Pre- or Post Leave </t>
  </si>
  <si>
    <t>Section III: Payroll (UCPath Pay Dates for AY Faculty) Dates Determination</t>
  </si>
  <si>
    <t xml:space="preserve">Where "ALL PAY", payroll dates include full month.  Where "MANUAL TRANS" appears, convert rounded day count </t>
  </si>
  <si>
    <t>Payroll Working Days and Holidays</t>
  </si>
  <si>
    <t>*Used for automation of Service Dates and Payroll Months. Can be updated for future years.</t>
  </si>
  <si>
    <t>Select the quarter in cell C3.</t>
  </si>
  <si>
    <t>Quarter service dates have been added in the Dropdown info tab. You may update, as needed, for future years.</t>
  </si>
  <si>
    <t xml:space="preserve">You may also double check them, as needed, on applicable academic year calendars.  </t>
  </si>
  <si>
    <t xml:space="preserve">Selecting the quarter will autopopulate the quarter service dates.  </t>
  </si>
  <si>
    <t>For quarters where there is ONLY a leave with pay portion, coupled with active service, you will enter</t>
  </si>
  <si>
    <t xml:space="preserve">UCPath entry will require both Pay and Service Dates for AY appointees. </t>
  </si>
  <si>
    <t xml:space="preserve">Note: Actual leave dates in Section I are used to determine Section III compensated payroll leave dates </t>
  </si>
  <si>
    <t>Pay months for the quarter selected in C3 will appear, along with the working days per month (incl. holidays).</t>
  </si>
  <si>
    <t>Feel free to reference the payroll calendar for the applicable payroll months and confirm what's on the sheet.</t>
  </si>
  <si>
    <t>Look for the first payroll month in Section III where Manual Trans is noted on the bottom row.</t>
  </si>
  <si>
    <t xml:space="preserve"> in pay status.  EXAMPLE: If the calendar says 9.4564, look at that affected month and count working days</t>
  </si>
  <si>
    <t xml:space="preserve"> the employee whenever possible.  </t>
  </si>
  <si>
    <t>Take that count of working days from that month and go to a calendar to figure out which actual date the</t>
  </si>
  <si>
    <t xml:space="preserve"> and holidays until you reach 9. If the spreadsheet says 9.5545, round up to 10. Count days to benefit</t>
  </si>
  <si>
    <r>
      <t xml:space="preserve">These calculations are for employees hired on an </t>
    </r>
    <r>
      <rPr>
        <b/>
        <u/>
        <sz val="10"/>
        <color theme="1"/>
        <rFont val="Calibri"/>
        <family val="2"/>
        <scheme val="minor"/>
      </rPr>
      <t>academic year</t>
    </r>
    <r>
      <rPr>
        <sz val="10"/>
        <color theme="1"/>
        <rFont val="Calibri"/>
        <family val="2"/>
        <scheme val="minor"/>
      </rPr>
      <t xml:space="preserve"> basis.  Fiscal year</t>
    </r>
  </si>
  <si>
    <r>
      <t xml:space="preserve">used for </t>
    </r>
    <r>
      <rPr>
        <u/>
        <sz val="10"/>
        <color theme="1"/>
        <rFont val="Calibri"/>
        <family val="2"/>
        <scheme val="minor"/>
      </rPr>
      <t>lay-off pay calculations</t>
    </r>
    <r>
      <rPr>
        <sz val="10"/>
        <color theme="1"/>
        <rFont val="Calibri"/>
        <family val="2"/>
        <scheme val="minor"/>
      </rPr>
      <t xml:space="preserve">. Deans' Offices should be consulted regarding lay-offs.  </t>
    </r>
  </si>
  <si>
    <t>Section I: Actual Dates of Leave/Change of Status</t>
  </si>
  <si>
    <t>Section II: Daily Rate Calculation</t>
  </si>
  <si>
    <t>Section III: Service Period to Pay Period Dates Conversion</t>
  </si>
  <si>
    <t>Determine appointee's pay frequency (9/9 or 9/12) and select the correct tab.</t>
  </si>
  <si>
    <t>payroll dates from Section III to enter pay period leave dates in the "Pay Period Dates for AY Academics" tab.</t>
  </si>
  <si>
    <t xml:space="preserve">The service dates of the leave from Section I will be entered in the "Extended Absence Details" tab. Use </t>
  </si>
  <si>
    <t>payroll days are impacted until. The day after is the first day there will be a change</t>
  </si>
  <si>
    <t xml:space="preserve">You may not need the second set of LWOP dates but they are there in case you do.  </t>
  </si>
  <si>
    <t>9/9PayPerMo3</t>
  </si>
  <si>
    <t>9/9PayPerMo2</t>
  </si>
  <si>
    <t>9/9PayPerMo1</t>
  </si>
  <si>
    <t>FA24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</si>
</sst>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6.5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1E1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7" fontId="0" fillId="0" borderId="0" xfId="0" applyNumberFormat="1" applyAlignment="1">
      <alignment horizontal="center"/>
    </xf>
    <xf numFmtId="8" fontId="0" fillId="0" borderId="0" xfId="0" applyNumberFormat="1"/>
    <xf numFmtId="0" fontId="3" fillId="0" borderId="1" xfId="0" applyFont="1" applyBorder="1"/>
    <xf numFmtId="0" fontId="8" fillId="0" borderId="0" xfId="0" applyFont="1"/>
    <xf numFmtId="0" fontId="9" fillId="0" borderId="0" xfId="0" applyFont="1"/>
    <xf numFmtId="9" fontId="2" fillId="0" borderId="0" xfId="0" applyNumberFormat="1" applyFont="1" applyAlignment="1">
      <alignment horizontal="left"/>
    </xf>
    <xf numFmtId="164" fontId="0" fillId="0" borderId="1" xfId="0" applyNumberForma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0" fillId="0" borderId="0" xfId="0" applyAlignment="1">
      <alignment horizontal="left"/>
    </xf>
    <xf numFmtId="2" fontId="0" fillId="0" borderId="1" xfId="0" applyNumberFormat="1" applyBorder="1"/>
    <xf numFmtId="165" fontId="0" fillId="0" borderId="1" xfId="0" applyNumberFormat="1" applyBorder="1" applyAlignment="1" applyProtection="1">
      <alignment horizontal="right"/>
    </xf>
    <xf numFmtId="0" fontId="10" fillId="0" borderId="0" xfId="0" applyFont="1"/>
    <xf numFmtId="0" fontId="10" fillId="0" borderId="1" xfId="0" applyFont="1" applyBorder="1"/>
    <xf numFmtId="0" fontId="7" fillId="0" borderId="1" xfId="0" applyFont="1" applyBorder="1"/>
    <xf numFmtId="14" fontId="0" fillId="0" borderId="1" xfId="0" applyNumberFormat="1" applyBorder="1"/>
    <xf numFmtId="0" fontId="13" fillId="0" borderId="0" xfId="0" applyFont="1"/>
    <xf numFmtId="0" fontId="12" fillId="0" borderId="0" xfId="0" applyFont="1"/>
    <xf numFmtId="0" fontId="11" fillId="0" borderId="0" xfId="1"/>
    <xf numFmtId="0" fontId="5" fillId="0" borderId="0" xfId="0" applyFont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/>
    <xf numFmtId="0" fontId="13" fillId="3" borderId="0" xfId="0" applyFont="1" applyFill="1"/>
    <xf numFmtId="0" fontId="14" fillId="3" borderId="0" xfId="1" applyFont="1" applyFill="1" applyBorder="1"/>
    <xf numFmtId="0" fontId="16" fillId="3" borderId="0" xfId="0" applyFont="1" applyFill="1" applyBorder="1"/>
    <xf numFmtId="0" fontId="12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14" fontId="0" fillId="6" borderId="1" xfId="0" applyNumberFormat="1" applyFill="1" applyBorder="1" applyProtection="1"/>
    <xf numFmtId="0" fontId="0" fillId="0" borderId="1" xfId="0" applyFill="1" applyBorder="1"/>
    <xf numFmtId="0" fontId="0" fillId="6" borderId="1" xfId="0" applyFill="1" applyBorder="1" applyAlignment="1">
      <alignment horizontal="right"/>
    </xf>
    <xf numFmtId="164" fontId="0" fillId="8" borderId="1" xfId="0" applyNumberForma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2" fontId="0" fillId="0" borderId="1" xfId="0" applyNumberFormat="1" applyBorder="1" applyAlignment="1">
      <alignment horizontal="left"/>
    </xf>
    <xf numFmtId="17" fontId="0" fillId="6" borderId="1" xfId="0" applyNumberForma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4" fontId="0" fillId="6" borderId="1" xfId="0" applyNumberForma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5" fillId="3" borderId="0" xfId="0" applyFont="1" applyFill="1" applyAlignment="1"/>
    <xf numFmtId="0" fontId="19" fillId="3" borderId="0" xfId="0" applyFont="1" applyFill="1" applyAlignment="1"/>
    <xf numFmtId="0" fontId="10" fillId="4" borderId="0" xfId="0" applyFont="1" applyFill="1"/>
    <xf numFmtId="164" fontId="0" fillId="4" borderId="0" xfId="0" applyNumberFormat="1" applyFill="1"/>
    <xf numFmtId="0" fontId="0" fillId="4" borderId="0" xfId="0" applyFill="1"/>
    <xf numFmtId="164" fontId="0" fillId="4" borderId="2" xfId="0" applyNumberFormat="1" applyFill="1" applyBorder="1"/>
    <xf numFmtId="0" fontId="10" fillId="4" borderId="2" xfId="0" applyFont="1" applyFill="1" applyBorder="1" applyAlignment="1">
      <alignment horizontal="center"/>
    </xf>
    <xf numFmtId="164" fontId="0" fillId="6" borderId="1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15" fillId="3" borderId="0" xfId="0" applyFont="1" applyFill="1" applyBorder="1" applyAlignment="1">
      <alignment horizontal="left"/>
    </xf>
    <xf numFmtId="0" fontId="15" fillId="0" borderId="0" xfId="0" applyFont="1"/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0" xfId="0" applyFont="1"/>
    <xf numFmtId="0" fontId="27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21" fillId="0" borderId="1" xfId="0" applyFont="1" applyBorder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6" borderId="0" xfId="0" applyFont="1" applyFill="1" applyAlignment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0" fillId="0" borderId="0" xfId="0" applyProtection="1"/>
    <xf numFmtId="0" fontId="2" fillId="0" borderId="0" xfId="0" applyFont="1" applyProtection="1"/>
    <xf numFmtId="0" fontId="10" fillId="0" borderId="0" xfId="0" applyFont="1" applyProtection="1"/>
    <xf numFmtId="0" fontId="6" fillId="0" borderId="0" xfId="0" applyFont="1" applyProtection="1"/>
    <xf numFmtId="0" fontId="6" fillId="4" borderId="0" xfId="0" applyFont="1" applyFill="1" applyAlignment="1" applyProtection="1">
      <alignment horizontal="left"/>
    </xf>
    <xf numFmtId="0" fontId="10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3" fillId="0" borderId="1" xfId="0" applyFont="1" applyBorder="1" applyProtection="1"/>
    <xf numFmtId="0" fontId="6" fillId="0" borderId="0" xfId="0" applyFont="1" applyAlignment="1" applyProtection="1">
      <alignment horizontal="center"/>
    </xf>
    <xf numFmtId="164" fontId="0" fillId="4" borderId="0" xfId="0" applyNumberFormat="1" applyFill="1" applyProtection="1"/>
    <xf numFmtId="0" fontId="21" fillId="0" borderId="0" xfId="0" applyFont="1" applyAlignment="1" applyProtection="1">
      <alignment horizontal="center"/>
    </xf>
    <xf numFmtId="0" fontId="9" fillId="0" borderId="0" xfId="0" applyFont="1" applyProtection="1"/>
    <xf numFmtId="8" fontId="0" fillId="0" borderId="0" xfId="0" applyNumberFormat="1" applyProtection="1"/>
    <xf numFmtId="14" fontId="0" fillId="3" borderId="1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/>
    </xf>
    <xf numFmtId="0" fontId="3" fillId="0" borderId="0" xfId="0" applyFont="1" applyProtection="1"/>
    <xf numFmtId="0" fontId="7" fillId="4" borderId="0" xfId="0" applyFont="1" applyFill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164" fontId="0" fillId="4" borderId="2" xfId="0" applyNumberFormat="1" applyFill="1" applyBorder="1" applyProtection="1"/>
    <xf numFmtId="0" fontId="4" fillId="0" borderId="0" xfId="0" applyFont="1" applyAlignment="1" applyProtection="1">
      <alignment horizontal="center"/>
    </xf>
    <xf numFmtId="0" fontId="8" fillId="0" borderId="0" xfId="0" applyFont="1" applyProtection="1"/>
    <xf numFmtId="164" fontId="0" fillId="3" borderId="0" xfId="0" applyNumberForma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1" fillId="0" borderId="1" xfId="0" applyFont="1" applyBorder="1" applyProtection="1"/>
    <xf numFmtId="2" fontId="0" fillId="0" borderId="1" xfId="0" applyNumberFormat="1" applyBorder="1" applyAlignment="1" applyProtection="1">
      <alignment horizontal="center"/>
    </xf>
    <xf numFmtId="0" fontId="24" fillId="0" borderId="1" xfId="0" applyFont="1" applyBorder="1" applyProtection="1"/>
    <xf numFmtId="0" fontId="21" fillId="0" borderId="1" xfId="0" applyFont="1" applyBorder="1" applyAlignment="1" applyProtection="1">
      <alignment vertical="center"/>
    </xf>
    <xf numFmtId="16" fontId="0" fillId="0" borderId="0" xfId="0" applyNumberFormat="1" applyAlignment="1" applyProtection="1">
      <alignment horizontal="center"/>
    </xf>
    <xf numFmtId="17" fontId="0" fillId="0" borderId="0" xfId="0" applyNumberFormat="1" applyAlignment="1" applyProtection="1">
      <alignment horizontal="center"/>
    </xf>
    <xf numFmtId="14" fontId="0" fillId="5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0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9" fontId="2" fillId="3" borderId="0" xfId="0" applyNumberFormat="1" applyFont="1" applyFill="1" applyAlignment="1" applyProtection="1">
      <alignment horizontal="left"/>
    </xf>
    <xf numFmtId="0" fontId="0" fillId="3" borderId="0" xfId="0" applyFill="1" applyProtection="1"/>
    <xf numFmtId="0" fontId="0" fillId="9" borderId="0" xfId="0" applyFill="1" applyAlignment="1" applyProtection="1">
      <alignment horizontal="center"/>
    </xf>
    <xf numFmtId="0" fontId="0" fillId="9" borderId="0" xfId="0" applyFill="1" applyProtection="1"/>
    <xf numFmtId="0" fontId="0" fillId="4" borderId="0" xfId="0" applyFill="1" applyAlignment="1">
      <alignment horizontal="left"/>
    </xf>
    <xf numFmtId="0" fontId="19" fillId="3" borderId="0" xfId="0" applyFont="1" applyFill="1" applyAlignment="1">
      <alignment horizontal="left"/>
    </xf>
    <xf numFmtId="0" fontId="0" fillId="5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14" fontId="0" fillId="6" borderId="1" xfId="0" applyNumberFormat="1" applyFill="1" applyBorder="1" applyAlignment="1" applyProtection="1">
      <alignment horizontal="left"/>
    </xf>
    <xf numFmtId="14" fontId="0" fillId="5" borderId="1" xfId="0" applyNumberFormat="1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5" borderId="1" xfId="0" applyNumberFormat="1" applyFill="1" applyBorder="1" applyAlignment="1" applyProtection="1">
      <alignment horizontal="left"/>
      <protection locked="0"/>
    </xf>
    <xf numFmtId="164" fontId="0" fillId="3" borderId="0" xfId="0" applyNumberFormat="1" applyFill="1" applyAlignment="1">
      <alignment horizontal="left"/>
    </xf>
    <xf numFmtId="10" fontId="0" fillId="5" borderId="1" xfId="0" applyNumberForma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16" fontId="0" fillId="0" borderId="0" xfId="0" applyNumberForma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0" fillId="9" borderId="0" xfId="0" applyFont="1" applyFill="1" applyProtection="1"/>
    <xf numFmtId="0" fontId="20" fillId="4" borderId="0" xfId="0" applyFont="1" applyFill="1"/>
    <xf numFmtId="0" fontId="1" fillId="7" borderId="1" xfId="0" applyFont="1" applyFill="1" applyBorder="1"/>
    <xf numFmtId="0" fontId="13" fillId="6" borderId="0" xfId="0" applyFont="1" applyFill="1" applyBorder="1" applyAlignment="1">
      <alignment horizontal="left"/>
    </xf>
    <xf numFmtId="0" fontId="13" fillId="6" borderId="0" xfId="0" applyFont="1" applyFill="1" applyAlignment="1"/>
    <xf numFmtId="0" fontId="25" fillId="3" borderId="0" xfId="0" applyFont="1" applyFill="1" applyAlignment="1"/>
    <xf numFmtId="0" fontId="19" fillId="3" borderId="0" xfId="0" applyFont="1" applyFill="1" applyAlignment="1"/>
    <xf numFmtId="0" fontId="3" fillId="0" borderId="3" xfId="0" applyFont="1" applyBorder="1" applyAlignment="1"/>
    <xf numFmtId="0" fontId="0" fillId="0" borderId="4" xfId="0" applyBorder="1" applyAlignment="1"/>
    <xf numFmtId="0" fontId="22" fillId="3" borderId="0" xfId="0" applyFont="1" applyFill="1" applyAlignment="1" applyProtection="1"/>
    <xf numFmtId="0" fontId="23" fillId="3" borderId="0" xfId="0" applyFont="1" applyFill="1" applyAlignment="1" applyProtection="1"/>
    <xf numFmtId="0" fontId="0" fillId="0" borderId="0" xfId="0" applyFill="1" applyBorder="1"/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12"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7AFC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FFFF00"/>
      </font>
      <fill>
        <patternFill>
          <bgColor rgb="FFC00000"/>
        </patternFill>
      </fill>
    </dxf>
    <dxf>
      <font>
        <b/>
        <i val="0"/>
      </font>
      <fill>
        <patternFill>
          <bgColor rgb="FFF7AFC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E1E1FF"/>
      <color rgb="FFCCCCFF"/>
      <color rgb="FFF7AFC0"/>
      <color rgb="FFD6F6F4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link.ucsd.edu/instructors/resources/academic/calendars/index.html" TargetMode="External"/><Relationship Id="rId1" Type="http://schemas.openxmlformats.org/officeDocument/2006/relationships/hyperlink" Target="http://blink.ucsd.edu/finance/payroll/calendar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link.ucsd.edu/finance/payroll/calendar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J49"/>
  <sheetViews>
    <sheetView showGridLines="0" workbookViewId="0">
      <selection activeCell="C3" sqref="C3"/>
    </sheetView>
  </sheetViews>
  <sheetFormatPr defaultRowHeight="15" x14ac:dyDescent="0.25"/>
  <cols>
    <col min="1" max="1" width="3" style="22" customWidth="1"/>
    <col min="2" max="2" width="9.140625" customWidth="1"/>
    <col min="10" max="10" width="12.85546875" customWidth="1"/>
  </cols>
  <sheetData>
    <row r="1" spans="1:10" ht="21" x14ac:dyDescent="0.35">
      <c r="A1" s="45" t="s">
        <v>38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9" customFormat="1" ht="7.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36" t="s">
        <v>128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6" t="s">
        <v>77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5">
      <c r="A5" s="141" t="s">
        <v>78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x14ac:dyDescent="0.25">
      <c r="A6" s="77" t="s">
        <v>129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5.5" customHeight="1" x14ac:dyDescent="0.25">
      <c r="A7" s="35" t="s">
        <v>130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30" customFormat="1" ht="16.5" customHeight="1" x14ac:dyDescent="0.2">
      <c r="A8" s="44">
        <v>1</v>
      </c>
      <c r="B8" s="41" t="s">
        <v>133</v>
      </c>
      <c r="C8" s="41"/>
      <c r="D8" s="41"/>
      <c r="E8" s="41"/>
      <c r="F8" s="41"/>
      <c r="G8" s="41"/>
      <c r="H8" s="41"/>
      <c r="I8" s="41"/>
      <c r="J8" s="41"/>
    </row>
    <row r="9" spans="1:10" s="30" customFormat="1" ht="16.5" customHeight="1" x14ac:dyDescent="0.2">
      <c r="A9" s="44">
        <v>2</v>
      </c>
      <c r="B9" s="41" t="s">
        <v>114</v>
      </c>
      <c r="C9" s="41"/>
      <c r="D9" s="41"/>
      <c r="E9" s="41"/>
      <c r="F9" s="41"/>
      <c r="G9" s="41"/>
      <c r="H9" s="41"/>
      <c r="I9" s="41"/>
      <c r="J9" s="41"/>
    </row>
    <row r="10" spans="1:10" s="29" customFormat="1" ht="13.5" customHeight="1" x14ac:dyDescent="0.2">
      <c r="A10" s="36"/>
      <c r="B10" s="37" t="s">
        <v>115</v>
      </c>
      <c r="C10" s="37"/>
      <c r="D10" s="37"/>
      <c r="E10" s="37"/>
      <c r="F10" s="37"/>
      <c r="G10" s="37"/>
      <c r="H10" s="37"/>
      <c r="I10" s="37"/>
      <c r="J10" s="37"/>
    </row>
    <row r="11" spans="1:10" s="29" customFormat="1" ht="12.75" x14ac:dyDescent="0.2">
      <c r="A11" s="36"/>
      <c r="B11" s="39" t="s">
        <v>116</v>
      </c>
      <c r="C11" s="37"/>
      <c r="D11" s="37"/>
      <c r="E11" s="37"/>
      <c r="F11" s="37"/>
      <c r="G11" s="37"/>
      <c r="H11" s="37"/>
      <c r="I11" s="37"/>
      <c r="J11" s="37"/>
    </row>
    <row r="12" spans="1:10" s="29" customFormat="1" ht="18" customHeight="1" x14ac:dyDescent="0.2">
      <c r="A12" s="36"/>
      <c r="B12" s="37" t="s">
        <v>117</v>
      </c>
      <c r="C12" s="37"/>
      <c r="D12" s="37"/>
      <c r="E12" s="37"/>
      <c r="F12" s="37"/>
      <c r="G12" s="37"/>
      <c r="H12" s="37"/>
      <c r="I12" s="37"/>
      <c r="J12" s="37"/>
    </row>
    <row r="13" spans="1:10" s="30" customFormat="1" ht="17.25" customHeight="1" x14ac:dyDescent="0.2">
      <c r="A13" s="44">
        <v>3</v>
      </c>
      <c r="B13" s="41" t="s">
        <v>59</v>
      </c>
      <c r="C13" s="41"/>
      <c r="D13" s="41"/>
      <c r="E13" s="41"/>
      <c r="F13" s="41"/>
      <c r="G13" s="41"/>
      <c r="H13" s="41"/>
      <c r="I13" s="41"/>
      <c r="J13" s="41"/>
    </row>
    <row r="14" spans="1:10" s="29" customFormat="1" ht="12.75" customHeight="1" x14ac:dyDescent="0.2">
      <c r="A14" s="36"/>
      <c r="B14" s="37" t="s">
        <v>118</v>
      </c>
      <c r="C14" s="37"/>
      <c r="D14" s="37"/>
      <c r="E14" s="37"/>
      <c r="F14" s="37"/>
      <c r="G14" s="37"/>
      <c r="H14" s="37"/>
      <c r="I14" s="37"/>
      <c r="J14" s="37"/>
    </row>
    <row r="15" spans="1:10" s="29" customFormat="1" ht="12" customHeight="1" x14ac:dyDescent="0.2">
      <c r="A15" s="36"/>
      <c r="B15" s="37" t="s">
        <v>102</v>
      </c>
      <c r="C15" s="37"/>
      <c r="D15" s="37"/>
      <c r="E15" s="37"/>
      <c r="F15" s="37"/>
      <c r="G15" s="37"/>
      <c r="H15" s="37"/>
      <c r="I15" s="37"/>
      <c r="J15" s="37"/>
    </row>
    <row r="16" spans="1:10" s="30" customFormat="1" ht="15" customHeight="1" x14ac:dyDescent="0.2">
      <c r="A16" s="44">
        <v>4</v>
      </c>
      <c r="B16" s="41" t="s">
        <v>101</v>
      </c>
      <c r="C16" s="41"/>
      <c r="D16" s="41"/>
      <c r="E16" s="41"/>
      <c r="F16" s="41"/>
      <c r="G16" s="41"/>
      <c r="H16" s="41"/>
      <c r="I16" s="41"/>
      <c r="J16" s="41"/>
    </row>
    <row r="17" spans="1:10" s="29" customFormat="1" ht="11.25" customHeight="1" x14ac:dyDescent="0.2">
      <c r="A17" s="36"/>
      <c r="B17" s="37" t="s">
        <v>137</v>
      </c>
      <c r="C17" s="37"/>
      <c r="D17" s="37"/>
      <c r="E17" s="37"/>
      <c r="F17" s="37"/>
      <c r="G17" s="37"/>
      <c r="H17" s="37"/>
      <c r="I17" s="37"/>
      <c r="J17" s="37"/>
    </row>
    <row r="18" spans="1:10" s="29" customFormat="1" ht="11.25" customHeight="1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9" customFormat="1" ht="12" customHeight="1" x14ac:dyDescent="0.2">
      <c r="A19" s="36"/>
      <c r="B19" s="37" t="s">
        <v>120</v>
      </c>
      <c r="C19" s="37"/>
      <c r="D19" s="37"/>
      <c r="E19" s="37"/>
      <c r="F19" s="37"/>
      <c r="G19" s="37"/>
      <c r="H19" s="37"/>
      <c r="I19" s="37"/>
      <c r="J19" s="37"/>
    </row>
    <row r="20" spans="1:10" s="68" customFormat="1" ht="10.5" customHeight="1" x14ac:dyDescent="0.2">
      <c r="A20" s="67"/>
      <c r="B20" s="43" t="s">
        <v>119</v>
      </c>
      <c r="C20" s="43"/>
      <c r="D20" s="43"/>
      <c r="E20" s="43"/>
      <c r="F20" s="43"/>
      <c r="G20" s="43"/>
      <c r="H20" s="43"/>
      <c r="I20" s="43"/>
      <c r="J20" s="43"/>
    </row>
    <row r="21" spans="1:10" s="29" customFormat="1" ht="7.5" customHeight="1" x14ac:dyDescent="0.2">
      <c r="A21" s="36"/>
      <c r="B21" s="41"/>
      <c r="C21" s="37"/>
      <c r="D21" s="37"/>
      <c r="E21" s="37"/>
      <c r="F21" s="37"/>
      <c r="G21" s="37"/>
      <c r="H21" s="37"/>
      <c r="I21" s="37"/>
      <c r="J21" s="37"/>
    </row>
    <row r="22" spans="1:10" s="29" customFormat="1" ht="21" customHeight="1" x14ac:dyDescent="0.25">
      <c r="A22" s="35" t="s">
        <v>131</v>
      </c>
      <c r="B22" s="40"/>
      <c r="C22" s="37"/>
      <c r="D22" s="37"/>
      <c r="E22" s="37"/>
      <c r="F22" s="37"/>
      <c r="G22" s="37"/>
      <c r="H22" s="37"/>
      <c r="I22" s="37"/>
      <c r="J22" s="37"/>
    </row>
    <row r="23" spans="1:10" s="71" customFormat="1" ht="14.25" customHeight="1" x14ac:dyDescent="0.2">
      <c r="A23" s="69">
        <v>1</v>
      </c>
      <c r="B23" s="70" t="s">
        <v>103</v>
      </c>
      <c r="C23" s="70"/>
      <c r="D23" s="70"/>
      <c r="E23" s="70"/>
      <c r="F23" s="70"/>
      <c r="G23" s="70"/>
      <c r="H23" s="70"/>
      <c r="I23" s="70"/>
      <c r="J23" s="70"/>
    </row>
    <row r="24" spans="1:10" s="71" customFormat="1" ht="12" customHeight="1" x14ac:dyDescent="0.2">
      <c r="A24" s="69">
        <v>2</v>
      </c>
      <c r="B24" s="70" t="s">
        <v>60</v>
      </c>
      <c r="C24" s="70"/>
      <c r="D24" s="70"/>
      <c r="E24" s="70"/>
      <c r="F24" s="70"/>
      <c r="G24" s="70"/>
      <c r="H24" s="70"/>
      <c r="I24" s="70"/>
      <c r="J24" s="70"/>
    </row>
    <row r="25" spans="1:10" s="29" customFormat="1" ht="27" customHeight="1" x14ac:dyDescent="0.25">
      <c r="A25" s="35" t="s">
        <v>132</v>
      </c>
      <c r="B25" s="40"/>
      <c r="C25" s="37"/>
      <c r="D25" s="37"/>
      <c r="E25" s="37"/>
      <c r="F25" s="37"/>
      <c r="G25" s="37"/>
      <c r="H25" s="37"/>
      <c r="I25" s="37"/>
      <c r="J25" s="37"/>
    </row>
    <row r="26" spans="1:10" s="30" customFormat="1" ht="18" customHeight="1" x14ac:dyDescent="0.2">
      <c r="A26" s="44">
        <v>1</v>
      </c>
      <c r="B26" s="41" t="s">
        <v>121</v>
      </c>
      <c r="C26" s="41"/>
      <c r="D26" s="41"/>
      <c r="E26" s="41"/>
      <c r="F26" s="41"/>
      <c r="G26" s="41"/>
      <c r="H26" s="41"/>
      <c r="I26" s="41"/>
      <c r="J26" s="41"/>
    </row>
    <row r="27" spans="1:10" s="29" customFormat="1" ht="16.5" customHeight="1" x14ac:dyDescent="0.2">
      <c r="A27" s="36" t="s">
        <v>52</v>
      </c>
      <c r="B27" s="42" t="s">
        <v>39</v>
      </c>
      <c r="C27" s="37"/>
      <c r="D27" s="37"/>
      <c r="E27" s="37"/>
      <c r="F27" s="37"/>
      <c r="G27" s="37"/>
      <c r="H27" s="37"/>
      <c r="I27" s="37"/>
      <c r="J27" s="37"/>
    </row>
    <row r="28" spans="1:10" s="29" customFormat="1" ht="13.5" customHeight="1" x14ac:dyDescent="0.2">
      <c r="A28" s="36"/>
      <c r="B28" s="42" t="s">
        <v>40</v>
      </c>
      <c r="C28" s="37"/>
      <c r="D28" s="37"/>
      <c r="E28" s="37"/>
      <c r="F28" s="37"/>
      <c r="G28" s="37"/>
      <c r="H28" s="37"/>
      <c r="I28" s="37"/>
      <c r="J28" s="37"/>
    </row>
    <row r="29" spans="1:10" s="29" customFormat="1" ht="12.75" x14ac:dyDescent="0.2">
      <c r="A29" s="36"/>
      <c r="B29" s="42" t="s">
        <v>41</v>
      </c>
      <c r="C29" s="37"/>
      <c r="D29" s="37"/>
      <c r="E29" s="37"/>
      <c r="F29" s="37"/>
      <c r="G29" s="37"/>
      <c r="H29" s="37"/>
      <c r="I29" s="37"/>
      <c r="J29" s="37"/>
    </row>
    <row r="30" spans="1:10" s="30" customFormat="1" ht="17.25" customHeight="1" x14ac:dyDescent="0.2">
      <c r="A30" s="44"/>
      <c r="B30" s="41" t="s">
        <v>122</v>
      </c>
      <c r="C30" s="41"/>
      <c r="D30" s="41"/>
      <c r="E30" s="41"/>
      <c r="F30" s="41"/>
      <c r="G30" s="41"/>
      <c r="H30" s="41"/>
      <c r="I30" s="41"/>
      <c r="J30" s="41"/>
    </row>
    <row r="31" spans="1:10" s="29" customFormat="1" ht="12.75" x14ac:dyDescent="0.2">
      <c r="A31" s="36"/>
      <c r="B31" s="39" t="s">
        <v>53</v>
      </c>
      <c r="C31" s="37"/>
      <c r="D31" s="37"/>
      <c r="E31" s="37"/>
      <c r="F31" s="37"/>
      <c r="G31" s="37"/>
      <c r="H31" s="37"/>
      <c r="I31" s="37"/>
      <c r="J31" s="37"/>
    </row>
    <row r="32" spans="1:10" s="29" customFormat="1" ht="6.75" customHeight="1" x14ac:dyDescent="0.2">
      <c r="A32" s="36"/>
      <c r="B32" s="39"/>
      <c r="C32" s="37"/>
      <c r="D32" s="37"/>
      <c r="E32" s="37"/>
      <c r="F32" s="37"/>
      <c r="G32" s="37"/>
      <c r="H32" s="37"/>
      <c r="I32" s="37"/>
      <c r="J32" s="37"/>
    </row>
    <row r="33" spans="1:10" s="29" customFormat="1" ht="12.75" x14ac:dyDescent="0.2">
      <c r="A33" s="36"/>
      <c r="B33" s="41" t="s">
        <v>123</v>
      </c>
      <c r="C33" s="41"/>
      <c r="D33" s="41"/>
      <c r="E33" s="41"/>
      <c r="F33" s="37"/>
      <c r="G33" s="37"/>
      <c r="H33" s="37"/>
      <c r="I33" s="37"/>
    </row>
    <row r="34" spans="1:10" s="29" customFormat="1" ht="15" customHeight="1" x14ac:dyDescent="0.2">
      <c r="A34" s="36"/>
      <c r="B34" s="41" t="s">
        <v>126</v>
      </c>
      <c r="C34" s="41"/>
      <c r="D34" s="41"/>
      <c r="E34" s="41"/>
      <c r="F34" s="37"/>
      <c r="G34" s="37"/>
      <c r="H34" s="37"/>
      <c r="I34" s="37"/>
      <c r="J34" s="37"/>
    </row>
    <row r="35" spans="1:10" s="29" customFormat="1" ht="12.75" x14ac:dyDescent="0.2">
      <c r="A35" s="36"/>
      <c r="B35" s="41" t="s">
        <v>136</v>
      </c>
      <c r="C35" s="41"/>
      <c r="D35" s="41"/>
      <c r="E35" s="41"/>
      <c r="F35" s="37"/>
      <c r="G35" s="37"/>
      <c r="H35" s="37"/>
      <c r="I35" s="37"/>
      <c r="J35" s="37"/>
    </row>
    <row r="36" spans="1:10" s="29" customFormat="1" ht="14.25" customHeight="1" x14ac:dyDescent="0.2">
      <c r="A36" s="36"/>
      <c r="B36" s="41" t="s">
        <v>124</v>
      </c>
      <c r="C36" s="41"/>
      <c r="D36" s="41"/>
      <c r="E36" s="41"/>
      <c r="F36" s="37"/>
      <c r="G36" s="37"/>
      <c r="H36" s="37"/>
      <c r="I36" s="37"/>
      <c r="J36" s="37"/>
    </row>
    <row r="37" spans="1:10" s="29" customFormat="1" ht="14.25" customHeight="1" x14ac:dyDescent="0.2">
      <c r="A37" s="36"/>
      <c r="B37" s="41" t="s">
        <v>127</v>
      </c>
      <c r="C37" s="41"/>
      <c r="D37" s="41"/>
      <c r="E37" s="41"/>
      <c r="F37" s="37"/>
      <c r="G37" s="37"/>
      <c r="H37" s="37"/>
      <c r="I37" s="37"/>
      <c r="J37" s="37"/>
    </row>
    <row r="38" spans="1:10" s="29" customFormat="1" ht="14.25" customHeight="1" x14ac:dyDescent="0.2">
      <c r="A38" s="36"/>
      <c r="B38" s="41" t="s">
        <v>125</v>
      </c>
      <c r="C38" s="41"/>
      <c r="D38" s="41"/>
      <c r="E38" s="41"/>
      <c r="F38" s="37"/>
      <c r="G38" s="37"/>
      <c r="H38" s="37"/>
      <c r="I38" s="37"/>
      <c r="J38" s="37"/>
    </row>
    <row r="39" spans="1:10" s="29" customFormat="1" ht="15.75" customHeight="1" x14ac:dyDescent="0.2">
      <c r="A39" s="44">
        <v>2</v>
      </c>
      <c r="B39" s="41" t="s">
        <v>135</v>
      </c>
      <c r="C39" s="37"/>
      <c r="D39" s="37"/>
      <c r="E39" s="37"/>
      <c r="F39" s="37"/>
      <c r="G39" s="37"/>
      <c r="H39" s="37"/>
      <c r="I39" s="37"/>
      <c r="J39" s="37"/>
    </row>
    <row r="40" spans="1:10" s="29" customFormat="1" ht="15.75" customHeight="1" x14ac:dyDescent="0.2">
      <c r="A40" s="36"/>
      <c r="B40" s="41" t="s">
        <v>134</v>
      </c>
      <c r="C40" s="37"/>
      <c r="D40" s="37"/>
      <c r="E40" s="37"/>
      <c r="F40" s="37"/>
      <c r="G40" s="37"/>
      <c r="H40" s="37"/>
      <c r="I40" s="37"/>
      <c r="J40" s="37"/>
    </row>
    <row r="41" spans="1:10" s="30" customFormat="1" ht="17.25" customHeight="1" x14ac:dyDescent="0.2">
      <c r="A41" s="36" t="s">
        <v>104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s="29" customFormat="1" ht="12.75" x14ac:dyDescent="0.2">
      <c r="A42" s="36"/>
      <c r="B42" s="72" t="s">
        <v>54</v>
      </c>
      <c r="C42" s="37"/>
      <c r="D42" s="37"/>
      <c r="E42" s="37"/>
      <c r="F42" s="37"/>
      <c r="G42" s="37"/>
      <c r="H42" s="37"/>
      <c r="I42" s="37"/>
      <c r="J42" s="37"/>
    </row>
    <row r="43" spans="1:10" s="29" customFormat="1" ht="12.75" x14ac:dyDescent="0.2">
      <c r="A43" s="36"/>
      <c r="B43" s="72" t="s">
        <v>42</v>
      </c>
      <c r="C43" s="37"/>
      <c r="D43" s="37"/>
      <c r="E43" s="37"/>
      <c r="F43" s="37"/>
      <c r="G43" s="37"/>
      <c r="H43" s="37"/>
      <c r="I43" s="37"/>
      <c r="J43" s="37"/>
    </row>
    <row r="44" spans="1:10" s="29" customFormat="1" ht="12.75" x14ac:dyDescent="0.2">
      <c r="A44" s="36"/>
      <c r="B44" s="72" t="s">
        <v>43</v>
      </c>
      <c r="C44" s="37"/>
      <c r="D44" s="37"/>
      <c r="E44" s="37"/>
      <c r="F44" s="37"/>
      <c r="G44" s="37"/>
      <c r="H44" s="37"/>
      <c r="I44" s="37"/>
      <c r="J44" s="37"/>
    </row>
    <row r="45" spans="1:10" ht="4.5" customHeight="1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</row>
    <row r="46" spans="1:10" s="30" customFormat="1" ht="12.75" x14ac:dyDescent="0.2">
      <c r="A46" s="36" t="s">
        <v>55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73"/>
      <c r="B47" s="72" t="s">
        <v>74</v>
      </c>
      <c r="C47" s="37"/>
      <c r="D47" s="74"/>
      <c r="E47" s="74"/>
      <c r="F47" s="74"/>
      <c r="G47" s="74"/>
      <c r="H47" s="74"/>
      <c r="I47" s="74"/>
      <c r="J47" s="74"/>
    </row>
    <row r="48" spans="1:10" x14ac:dyDescent="0.25">
      <c r="A48" s="73"/>
      <c r="B48" s="72" t="s">
        <v>44</v>
      </c>
      <c r="C48" s="37"/>
      <c r="D48" s="74"/>
      <c r="E48" s="74"/>
      <c r="F48" s="74"/>
      <c r="G48" s="74"/>
      <c r="H48" s="74"/>
      <c r="I48" s="74"/>
      <c r="J48" s="74"/>
    </row>
    <row r="49" spans="1:10" x14ac:dyDescent="0.25">
      <c r="A49" s="34"/>
      <c r="B49" s="33"/>
      <c r="C49" s="37"/>
      <c r="D49" s="33"/>
      <c r="E49" s="33"/>
      <c r="F49" s="33"/>
      <c r="G49" s="33"/>
      <c r="H49" s="33"/>
      <c r="I49" s="33"/>
      <c r="J49" s="33"/>
    </row>
  </sheetData>
  <sheetProtection sheet="1" objects="1" scenarios="1" selectLockedCells="1" selectUnlockedCells="1"/>
  <mergeCells count="1">
    <mergeCell ref="A5:J5"/>
  </mergeCells>
  <hyperlinks>
    <hyperlink ref="B31" r:id="rId1" xr:uid="{00000000-0004-0000-0000-000000000000}"/>
    <hyperlink ref="B11" r:id="rId2" display="correct academic year calendar.  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J53"/>
  <sheetViews>
    <sheetView showGridLines="0" tabSelected="1" workbookViewId="0">
      <selection activeCell="C4" sqref="C4"/>
    </sheetView>
  </sheetViews>
  <sheetFormatPr defaultRowHeight="15" x14ac:dyDescent="0.25"/>
  <cols>
    <col min="1" max="1" width="9.140625" customWidth="1"/>
    <col min="2" max="2" width="18.140625" customWidth="1"/>
    <col min="3" max="3" width="12.42578125" style="22" customWidth="1"/>
    <col min="4" max="4" width="13.42578125" style="3" customWidth="1"/>
    <col min="5" max="5" width="12" style="3" customWidth="1"/>
    <col min="6" max="6" width="12.140625" style="3" customWidth="1"/>
    <col min="7" max="7" width="10.85546875" customWidth="1"/>
    <col min="8" max="8" width="10.7109375" customWidth="1"/>
    <col min="9" max="9" width="10.7109375" bestFit="1" customWidth="1"/>
    <col min="10" max="10" width="5.7109375" customWidth="1"/>
  </cols>
  <sheetData>
    <row r="1" spans="1:10" ht="18.75" x14ac:dyDescent="0.3">
      <c r="A1" s="139" t="s">
        <v>75</v>
      </c>
      <c r="B1" s="62"/>
      <c r="C1" s="119"/>
      <c r="D1" s="76"/>
      <c r="E1" s="76"/>
      <c r="F1" s="76"/>
      <c r="G1" s="62"/>
    </row>
    <row r="2" spans="1:10" ht="21.75" customHeight="1" x14ac:dyDescent="0.25">
      <c r="A2" s="143" t="s">
        <v>25</v>
      </c>
      <c r="B2" s="144"/>
      <c r="C2" s="144"/>
      <c r="D2" s="144"/>
      <c r="E2" s="144"/>
      <c r="F2" s="19"/>
      <c r="G2" s="19"/>
    </row>
    <row r="3" spans="1:10" ht="6" customHeight="1" x14ac:dyDescent="0.25">
      <c r="A3" s="58"/>
      <c r="B3" s="59"/>
      <c r="C3" s="120"/>
      <c r="D3" s="59"/>
      <c r="E3" s="59"/>
      <c r="F3" s="19"/>
      <c r="G3" s="19"/>
    </row>
    <row r="4" spans="1:10" ht="18" customHeight="1" x14ac:dyDescent="0.25">
      <c r="A4" s="1" t="s">
        <v>83</v>
      </c>
      <c r="C4" s="121" t="s">
        <v>85</v>
      </c>
    </row>
    <row r="5" spans="1:10" ht="8.25" customHeight="1" x14ac:dyDescent="0.25"/>
    <row r="6" spans="1:10" x14ac:dyDescent="0.25">
      <c r="A6" s="32" t="s">
        <v>62</v>
      </c>
      <c r="F6" s="25" t="s">
        <v>63</v>
      </c>
      <c r="G6" s="60" t="s">
        <v>65</v>
      </c>
      <c r="J6" s="19"/>
    </row>
    <row r="7" spans="1:10" x14ac:dyDescent="0.25">
      <c r="A7" s="26" t="s">
        <v>0</v>
      </c>
      <c r="B7" s="4"/>
      <c r="C7" s="122"/>
      <c r="F7" s="25" t="s">
        <v>64</v>
      </c>
      <c r="G7" s="60" t="s">
        <v>66</v>
      </c>
    </row>
    <row r="8" spans="1:10" x14ac:dyDescent="0.25">
      <c r="A8" s="16" t="s">
        <v>1</v>
      </c>
      <c r="B8" s="4"/>
      <c r="C8" s="123">
        <f>IF(C4="FA22",'Service Period Dropdown Info'!#REF!,IF('9 over12 Qtr Comp Calculator'!C4="WI23",'Service Period Dropdown Info'!B2,IF('9 over12 Qtr Comp Calculator'!C4="SP23",'Service Period Dropdown Info'!B3,IF('9 over12 Qtr Comp Calculator'!C4="FA23",'Service Period Dropdown Info'!B4,IF('9 over12 Qtr Comp Calculator'!C4="WI24",'Service Period Dropdown Info'!B5,IF('9 over12 Qtr Comp Calculator'!C4="SP24",'Service Period Dropdown Info'!B6,IF('9 over12 Qtr Comp Calculator'!C4="FA24",'Service Period Dropdown Info'!B7,"Entry Required")))))))</f>
        <v>45014</v>
      </c>
      <c r="D8" s="11" t="s">
        <v>27</v>
      </c>
      <c r="E8" s="9">
        <f>NETWORKDAYS(C8,C9)</f>
        <v>58</v>
      </c>
      <c r="F8" s="2">
        <f>E8*$E$29</f>
        <v>16666.666666666668</v>
      </c>
      <c r="G8" s="61">
        <f>F8*C29</f>
        <v>16666.666666666668</v>
      </c>
    </row>
    <row r="9" spans="1:10" x14ac:dyDescent="0.25">
      <c r="A9" s="16" t="s">
        <v>2</v>
      </c>
      <c r="B9" s="4"/>
      <c r="C9" s="123">
        <f>IF($C$4="FA22",'Service Period Dropdown Info'!#REF!,IF('9 over12 Qtr Comp Calculator'!C4="WI23",'Service Period Dropdown Info'!C2,IF('9 over12 Qtr Comp Calculator'!C4="SP23",'Service Period Dropdown Info'!C3,IF('9 over12 Qtr Comp Calculator'!C4="FA23",'Service Period Dropdown Info'!C4,IF('9 over12 Qtr Comp Calculator'!C4="WI24",'Service Period Dropdown Info'!C5,IF('9 over12 Qtr Comp Calculator'!C4="SP24",'Service Period Dropdown Info'!C6,IF('9 over12 Qtr Comp Calculator'!C4="FA24",'Service Period Dropdown Info'!C7,"Entry Required")))))))</f>
        <v>45093</v>
      </c>
      <c r="D9" s="12"/>
      <c r="F9" s="2"/>
      <c r="G9" s="62"/>
    </row>
    <row r="10" spans="1:10" ht="20.25" customHeight="1" x14ac:dyDescent="0.25">
      <c r="A10" s="26" t="s">
        <v>31</v>
      </c>
      <c r="B10" s="4"/>
      <c r="C10" s="122"/>
      <c r="D10" s="12"/>
      <c r="F10" s="2"/>
      <c r="G10" s="62"/>
    </row>
    <row r="11" spans="1:10" x14ac:dyDescent="0.25">
      <c r="A11" s="16" t="s">
        <v>1</v>
      </c>
      <c r="B11" s="4"/>
      <c r="C11" s="124">
        <v>45019</v>
      </c>
      <c r="D11" s="11" t="s">
        <v>28</v>
      </c>
      <c r="E11" s="9">
        <f>NETWORKDAYS(C11,C12)</f>
        <v>40</v>
      </c>
      <c r="F11" s="2">
        <f>E11*$E$29</f>
        <v>11494.252873563219</v>
      </c>
      <c r="G11" s="61">
        <f>F11*$C$29</f>
        <v>11494.252873563219</v>
      </c>
    </row>
    <row r="12" spans="1:10" x14ac:dyDescent="0.25">
      <c r="A12" s="16" t="s">
        <v>2</v>
      </c>
      <c r="B12" s="4"/>
      <c r="C12" s="124">
        <v>45072</v>
      </c>
      <c r="D12" s="12"/>
      <c r="E12" s="9"/>
      <c r="F12" s="18"/>
      <c r="G12" s="61"/>
    </row>
    <row r="13" spans="1:10" ht="19.5" customHeight="1" x14ac:dyDescent="0.25">
      <c r="A13" s="26" t="s">
        <v>30</v>
      </c>
      <c r="B13" s="4"/>
      <c r="C13" s="122"/>
      <c r="D13" s="12"/>
      <c r="E13" s="9"/>
      <c r="F13" s="2"/>
      <c r="G13" s="61"/>
    </row>
    <row r="14" spans="1:10" x14ac:dyDescent="0.25">
      <c r="A14" s="16" t="s">
        <v>1</v>
      </c>
      <c r="B14" s="4"/>
      <c r="C14" s="124">
        <v>45073</v>
      </c>
      <c r="D14" s="11" t="s">
        <v>29</v>
      </c>
      <c r="E14" s="9">
        <f>NETWORKDAYS(C14,C15)</f>
        <v>10</v>
      </c>
      <c r="F14" s="15">
        <f>(E14*$E$29)*-1</f>
        <v>-2873.5632183908046</v>
      </c>
      <c r="G14" s="61">
        <f>F14*$C$29</f>
        <v>-2873.5632183908046</v>
      </c>
    </row>
    <row r="15" spans="1:10" x14ac:dyDescent="0.25">
      <c r="A15" s="16" t="s">
        <v>2</v>
      </c>
      <c r="B15" s="4"/>
      <c r="C15" s="124">
        <v>45086</v>
      </c>
      <c r="D15" s="12"/>
      <c r="E15" s="9"/>
      <c r="F15" s="15"/>
      <c r="G15" s="61"/>
    </row>
    <row r="16" spans="1:10" ht="19.5" customHeight="1" x14ac:dyDescent="0.25">
      <c r="A16" s="26" t="s">
        <v>47</v>
      </c>
      <c r="B16" s="4"/>
      <c r="C16" s="122"/>
      <c r="D16" s="12"/>
      <c r="E16" s="9"/>
      <c r="F16" s="15"/>
      <c r="G16" s="61"/>
    </row>
    <row r="17" spans="1:8" ht="15.75" customHeight="1" x14ac:dyDescent="0.25">
      <c r="A17" s="16" t="s">
        <v>1</v>
      </c>
      <c r="B17" s="4"/>
      <c r="C17" s="124"/>
      <c r="D17" s="11" t="s">
        <v>48</v>
      </c>
      <c r="E17" s="9">
        <f>NETWORKDAYS(C17,C18)</f>
        <v>0</v>
      </c>
      <c r="F17" s="15">
        <f>(E17*$E$29)*-1</f>
        <v>0</v>
      </c>
      <c r="G17" s="61">
        <f>F17*$C$29</f>
        <v>0</v>
      </c>
    </row>
    <row r="18" spans="1:8" x14ac:dyDescent="0.25">
      <c r="A18" s="16" t="s">
        <v>2</v>
      </c>
      <c r="B18" s="4"/>
      <c r="C18" s="124"/>
      <c r="D18" s="12"/>
      <c r="E18" s="9"/>
      <c r="F18" s="2"/>
      <c r="G18" s="61"/>
    </row>
    <row r="19" spans="1:8" ht="23.25" customHeight="1" x14ac:dyDescent="0.25">
      <c r="A19" s="27" t="s">
        <v>45</v>
      </c>
      <c r="B19" s="4"/>
      <c r="C19" s="125"/>
      <c r="D19" s="12"/>
      <c r="F19" s="2"/>
      <c r="G19" s="61"/>
    </row>
    <row r="20" spans="1:8" x14ac:dyDescent="0.25">
      <c r="A20" s="16" t="s">
        <v>1</v>
      </c>
      <c r="B20" s="4"/>
      <c r="C20" s="124">
        <v>45014</v>
      </c>
      <c r="D20" s="13" t="s">
        <v>32</v>
      </c>
      <c r="E20" s="9">
        <f>IF((C20:C21)=0,0, NETWORKDAYS(C20,C21))</f>
        <v>3</v>
      </c>
      <c r="F20" s="2">
        <f>E20*E29</f>
        <v>862.06896551724139</v>
      </c>
      <c r="G20" s="61">
        <f>F20*$C$29</f>
        <v>862.06896551724139</v>
      </c>
      <c r="H20" s="2"/>
    </row>
    <row r="21" spans="1:8" x14ac:dyDescent="0.25">
      <c r="A21" s="16" t="s">
        <v>2</v>
      </c>
      <c r="B21" s="4"/>
      <c r="C21" s="124">
        <v>45018</v>
      </c>
      <c r="D21" s="13"/>
      <c r="E21" s="9"/>
      <c r="F21" s="2"/>
      <c r="G21" s="61"/>
    </row>
    <row r="22" spans="1:8" x14ac:dyDescent="0.25">
      <c r="A22" s="16"/>
      <c r="B22" s="4"/>
      <c r="C22" s="126"/>
      <c r="D22" s="13"/>
      <c r="E22" s="9"/>
      <c r="F22" s="2"/>
      <c r="G22" s="61"/>
    </row>
    <row r="23" spans="1:8" x14ac:dyDescent="0.25">
      <c r="A23" s="16" t="s">
        <v>1</v>
      </c>
      <c r="B23" s="4"/>
      <c r="C23" s="124">
        <v>45087</v>
      </c>
      <c r="D23" s="13" t="s">
        <v>32</v>
      </c>
      <c r="E23" s="9">
        <f>IF((C23:C24)=0,0, NETWORKDAYS(C23,C24))</f>
        <v>5</v>
      </c>
      <c r="F23" s="2">
        <f>E23*E29</f>
        <v>1436.7816091954023</v>
      </c>
      <c r="G23" s="61">
        <f>F23*$C$29</f>
        <v>1436.7816091954023</v>
      </c>
    </row>
    <row r="24" spans="1:8" x14ac:dyDescent="0.25">
      <c r="A24" s="16" t="s">
        <v>2</v>
      </c>
      <c r="B24" s="4"/>
      <c r="C24" s="124">
        <v>45093</v>
      </c>
      <c r="D24" s="12"/>
      <c r="F24"/>
      <c r="G24" s="61"/>
    </row>
    <row r="25" spans="1:8" x14ac:dyDescent="0.25">
      <c r="A25" s="6"/>
      <c r="D25" s="12"/>
      <c r="E25" s="64" t="s">
        <v>33</v>
      </c>
      <c r="F25" s="63">
        <f>F11+F20+F23</f>
        <v>13793.103448275862</v>
      </c>
      <c r="G25" s="63">
        <f>G11+G20+G23</f>
        <v>13793.103448275862</v>
      </c>
    </row>
    <row r="26" spans="1:8" x14ac:dyDescent="0.25">
      <c r="A26" s="32" t="s">
        <v>61</v>
      </c>
      <c r="D26" s="12"/>
      <c r="F26"/>
    </row>
    <row r="27" spans="1:8" ht="17.25" customHeight="1" x14ac:dyDescent="0.25">
      <c r="A27" s="6" t="s">
        <v>26</v>
      </c>
      <c r="C27" s="127">
        <v>50000</v>
      </c>
      <c r="D27" s="11" t="s">
        <v>3</v>
      </c>
      <c r="E27" s="65">
        <f>C27/3</f>
        <v>16666.666666666668</v>
      </c>
      <c r="F27" s="2"/>
      <c r="G27" s="17"/>
    </row>
    <row r="28" spans="1:8" ht="8.25" customHeight="1" x14ac:dyDescent="0.25">
      <c r="A28" s="6"/>
      <c r="C28" s="128"/>
      <c r="D28" s="12"/>
      <c r="E28" s="57"/>
      <c r="F28"/>
    </row>
    <row r="29" spans="1:8" x14ac:dyDescent="0.25">
      <c r="A29" s="6" t="s">
        <v>34</v>
      </c>
      <c r="C29" s="129">
        <v>1</v>
      </c>
      <c r="D29" s="11" t="s">
        <v>36</v>
      </c>
      <c r="E29" s="65">
        <f>(E27/E8)</f>
        <v>287.35632183908046</v>
      </c>
      <c r="F29"/>
    </row>
    <row r="30" spans="1:8" ht="7.5" customHeight="1" x14ac:dyDescent="0.25">
      <c r="A30" s="6"/>
      <c r="E30" s="9"/>
      <c r="F30"/>
    </row>
    <row r="31" spans="1:8" x14ac:dyDescent="0.25">
      <c r="A31" s="6" t="s">
        <v>4</v>
      </c>
      <c r="C31" s="130">
        <f>((E20+E23+E11)*E29)*C29</f>
        <v>13793.103448275862</v>
      </c>
      <c r="D31" s="3" t="str">
        <f>IF(C31&gt;E27, "Too many days accounted for. Fix Dates.", " ")</f>
        <v xml:space="preserve"> </v>
      </c>
      <c r="E31" s="10"/>
      <c r="F31" s="10"/>
    </row>
    <row r="32" spans="1:8" x14ac:dyDescent="0.25">
      <c r="A32" s="6" t="s">
        <v>67</v>
      </c>
      <c r="C32" s="130">
        <f>C27/12</f>
        <v>4166.666666666667</v>
      </c>
    </row>
    <row r="33" spans="1:7" x14ac:dyDescent="0.25">
      <c r="A33" s="6" t="s">
        <v>37</v>
      </c>
      <c r="C33" s="131">
        <f>C32*C29</f>
        <v>4166.666666666667</v>
      </c>
      <c r="G33" s="2"/>
    </row>
    <row r="34" spans="1:7" ht="8.25" customHeight="1" x14ac:dyDescent="0.25">
      <c r="A34" s="6"/>
      <c r="G34" s="2"/>
    </row>
    <row r="35" spans="1:7" x14ac:dyDescent="0.25">
      <c r="A35" s="32" t="s">
        <v>73</v>
      </c>
      <c r="G35" s="2"/>
    </row>
    <row r="36" spans="1:7" x14ac:dyDescent="0.25">
      <c r="A36" s="6"/>
      <c r="C36" s="50" t="s">
        <v>20</v>
      </c>
      <c r="D36" s="7" t="s">
        <v>21</v>
      </c>
      <c r="E36" s="7" t="s">
        <v>22</v>
      </c>
      <c r="F36" s="7" t="s">
        <v>23</v>
      </c>
    </row>
    <row r="37" spans="1:7" x14ac:dyDescent="0.25">
      <c r="A37" s="16" t="s">
        <v>58</v>
      </c>
      <c r="B37" s="4"/>
      <c r="C37" s="123" t="str">
        <f>IF($C$4="FA24",'Service Period Dropdown Info'!D7,IF('9 over12 Qtr Comp Calculator'!$C$4="WI23",'Service Period Dropdown Info'!D2,IF('9 over12 Qtr Comp Calculator'!$C$4="SP23",'Service Period Dropdown Info'!D3,IF('9 over12 Qtr Comp Calculator'!$C$4="FA23",'Service Period Dropdown Info'!D4,IF('9 over12 Qtr Comp Calculator'!$C$4="WI24",'Service Period Dropdown Info'!D5,IF('9 over12 Qtr Comp Calculator'!$C$4="SP24",'Service Period Dropdown Info'!D6,IF('9 over12 Qtr Comp Calculator'!$C$4="SP24",'Service Period Dropdown Info'!D7,"Entry Required")))))))</f>
        <v>Mar</v>
      </c>
      <c r="D37" s="46" t="str">
        <f>IF($C$4="FA24",'Service Period Dropdown Info'!E7,IF('9 over12 Qtr Comp Calculator'!$C$4="WI23",'Service Period Dropdown Info'!E2,IF('9 over12 Qtr Comp Calculator'!$C$4="SP23",'Service Period Dropdown Info'!E3,IF('9 over12 Qtr Comp Calculator'!$C$4="FA23",'Service Period Dropdown Info'!E4,IF('9 over12 Qtr Comp Calculator'!$C$4="WI24",'Service Period Dropdown Info'!E5,IF('9 over12 Qtr Comp Calculator'!$C$4="SP24",'Service Period Dropdown Info'!E6,"Entry Required"))))))</f>
        <v>Apr</v>
      </c>
      <c r="E37" s="46" t="str">
        <f>IF($C$4="FA24",'Service Period Dropdown Info'!F7,IF('9 over12 Qtr Comp Calculator'!$C$4="WI23",'Service Period Dropdown Info'!F2,IF('9 over12 Qtr Comp Calculator'!$C$4="SP23",'Service Period Dropdown Info'!F3,IF('9 over12 Qtr Comp Calculator'!$C$4="FA23",'Service Period Dropdown Info'!F4,IF('9 over12 Qtr Comp Calculator'!$C$4="WI24",'Service Period Dropdown Info'!F5,IF('9 over12 Qtr Comp Calculator'!$C$4="SP24",'Service Period Dropdown Info'!F6,"Entry Required"))))))</f>
        <v>May</v>
      </c>
      <c r="F37" s="46" t="str">
        <f>IF($C$4="FA24",'Service Period Dropdown Info'!G7,IF('9 over12 Qtr Comp Calculator'!$C$4="WI23",'Service Period Dropdown Info'!G2,IF('9 over12 Qtr Comp Calculator'!$C$4="SP23",'Service Period Dropdown Info'!G3,IF('9 over12 Qtr Comp Calculator'!$C$4="FA23",'Service Period Dropdown Info'!G4,IF('9 over12 Qtr Comp Calculator'!$C$4="WI24",'Service Period Dropdown Info'!G5,IF('9 over12 Qtr Comp Calculator'!$C$4="SP24",'Service Period Dropdown Info'!G6,"Entry Required"))))))</f>
        <v>June</v>
      </c>
    </row>
    <row r="38" spans="1:7" x14ac:dyDescent="0.25">
      <c r="A38" s="16" t="s">
        <v>71</v>
      </c>
      <c r="B38" s="4"/>
      <c r="C38" s="51">
        <f>C32/C40</f>
        <v>181.15942028985509</v>
      </c>
      <c r="D38" s="20">
        <f>C32/D40</f>
        <v>208.33333333333334</v>
      </c>
      <c r="E38" s="20">
        <f>$C$32/E40</f>
        <v>181.15942028985509</v>
      </c>
      <c r="F38" s="20">
        <f>$C$32/F40</f>
        <v>189.39393939393941</v>
      </c>
    </row>
    <row r="39" spans="1:7" x14ac:dyDescent="0.25">
      <c r="A39" s="16" t="s">
        <v>72</v>
      </c>
      <c r="B39" s="4"/>
      <c r="C39" s="132">
        <f>(C32/C40)*C29</f>
        <v>181.15942028985509</v>
      </c>
      <c r="D39" s="20">
        <f>(C32/D40)*C29</f>
        <v>208.33333333333334</v>
      </c>
      <c r="E39" s="20">
        <f>(C32/E40)*C29</f>
        <v>181.15942028985509</v>
      </c>
      <c r="F39" s="20">
        <f>(C32/F40)*C29</f>
        <v>189.39393939393941</v>
      </c>
    </row>
    <row r="40" spans="1:7" x14ac:dyDescent="0.25">
      <c r="A40" s="145" t="s">
        <v>5</v>
      </c>
      <c r="B40" s="146"/>
      <c r="C40" s="48">
        <f>IF($C$4="FA24",'Payroll Working Days'!C32, IF('9 over12 Qtr Comp Calculator'!$C$4="WI23",'Payroll Working Days'!C12,IF('9 over12 Qtr Comp Calculator'!$C$4="SP23",'Payroll Working Days'!C16,IF('9 over12 Qtr Comp Calculator'!$C$4="FA23",'Payroll Working Days'!C20,IF('9 over12 Qtr Comp Calculator'!$C$4="WI24",'Payroll Working Days'!C24,IF('9 over12 Qtr Comp Calculator'!$C$4="SP24",'Payroll Working Days'!C28,"Entry Required"))))))</f>
        <v>23</v>
      </c>
      <c r="D40" s="48">
        <f>IF($C$4="FA24",'Payroll Working Days'!C33, IF('9 over12 Qtr Comp Calculator'!$C$4="WI23",'Payroll Working Days'!C13,IF('9 over12 Qtr Comp Calculator'!$C$4="SP23",'Payroll Working Days'!C17,IF('9 over12 Qtr Comp Calculator'!$C$4="FA23",'Payroll Working Days'!C21,IF('9 over12 Qtr Comp Calculator'!$C$4="WI24",'Payroll Working Days'!C25,IF('9 over12 Qtr Comp Calculator'!$C$4="SP24",'Payroll Working Days'!C29,"Entry Required"))))))</f>
        <v>20</v>
      </c>
      <c r="E40" s="48">
        <f>IF($C$4="FA24",'Payroll Working Days'!C34, IF('9 over12 Qtr Comp Calculator'!$C$4="WI23",'Payroll Working Days'!C14,IF('9 over12 Qtr Comp Calculator'!$C$4="SP23",'Payroll Working Days'!C18,IF('9 over12 Qtr Comp Calculator'!$C$4="FA23",'Payroll Working Days'!C22,IF('9 over12 Qtr Comp Calculator'!$C$4="WI24",'Payroll Working Days'!C26,IF('9 over12 Qtr Comp Calculator'!$C$4="SP24",'Payroll Working Days'!C30,"Entry Required"))))))</f>
        <v>23</v>
      </c>
      <c r="F40" s="48">
        <f>IF($C$4="FA24",'Payroll Working Days'!C35, IF('9 over12 Qtr Comp Calculator'!$C$4="WI23",'Payroll Working Days'!C15,IF('9 over12 Qtr Comp Calculator'!$C$4="SP23",'Payroll Working Days'!C19,IF('9 over12 Qtr Comp Calculator'!$C$4="FA23",'Payroll Working Days'!C23,IF('9 over12 Qtr Comp Calculator'!$C$4="WI24",'Payroll Working Days'!C27,IF('9 over12 Qtr Comp Calculator'!$C$4="SP24",'Payroll Working Days'!C31,"Entry Required"))))))</f>
        <v>22</v>
      </c>
    </row>
    <row r="41" spans="1:7" x14ac:dyDescent="0.25">
      <c r="A41" s="16" t="s">
        <v>46</v>
      </c>
      <c r="B41" s="4"/>
      <c r="C41" s="24">
        <f>IF(C31&lt;C33,C31/C39,C33/C39)</f>
        <v>23</v>
      </c>
      <c r="D41" s="24">
        <f>IF(C43&gt;=C33,D40, C43/D39)</f>
        <v>20</v>
      </c>
      <c r="E41" s="24">
        <f>IF(D43&gt;=C33,E40, D43/E39)</f>
        <v>23</v>
      </c>
      <c r="F41" s="24">
        <f>IF(E43&gt;=C33,F40, E43/F39)</f>
        <v>6.8275862068965427</v>
      </c>
    </row>
    <row r="42" spans="1:7" x14ac:dyDescent="0.25">
      <c r="A42" s="16" t="s">
        <v>57</v>
      </c>
      <c r="B42" s="4"/>
      <c r="C42" s="51">
        <f>C41*(C38*$C$29)</f>
        <v>4166.666666666667</v>
      </c>
      <c r="D42" s="23">
        <f>D41*(D38*$C$29)</f>
        <v>4166.666666666667</v>
      </c>
      <c r="E42" s="23">
        <f>E41*(E38*$C$29)</f>
        <v>4166.666666666667</v>
      </c>
      <c r="F42" s="23">
        <f>F41*(F38*$C$29)</f>
        <v>1293.1034482758605</v>
      </c>
    </row>
    <row r="43" spans="1:7" x14ac:dyDescent="0.25">
      <c r="A43" s="16" t="s">
        <v>56</v>
      </c>
      <c r="B43" s="4"/>
      <c r="C43" s="132">
        <f>IF(C31&gt;0,C31-(C41*C39),0)</f>
        <v>9626.4367816091944</v>
      </c>
      <c r="D43" s="20">
        <f>C43-(D41*D39)</f>
        <v>5459.7701149425275</v>
      </c>
      <c r="E43" s="20">
        <f>D43-(E41*E39)</f>
        <v>1293.1034482758605</v>
      </c>
      <c r="F43" s="20">
        <f>E43-(F41*F39)</f>
        <v>0</v>
      </c>
    </row>
    <row r="44" spans="1:7" x14ac:dyDescent="0.25">
      <c r="A44" s="16" t="s">
        <v>24</v>
      </c>
      <c r="B44" s="4"/>
      <c r="C44" s="133" t="str">
        <f>IF(C41=C40,"ALL PAY", "MANUAL TRANS")</f>
        <v>ALL PAY</v>
      </c>
      <c r="D44" s="133" t="str">
        <f>IF(D41=D40,"ALL PAY", "MANUAL TRANS")</f>
        <v>ALL PAY</v>
      </c>
      <c r="E44" s="21" t="str">
        <f>IF(E41=E40,"ALL PAY", "MANUAL TRANS")</f>
        <v>ALL PAY</v>
      </c>
      <c r="F44" s="21" t="str">
        <f>IF(F41=F40,"ALL PAY", "MANUAL TRANS")</f>
        <v>MANUAL TRANS</v>
      </c>
    </row>
    <row r="45" spans="1:7" ht="6.75" customHeight="1" x14ac:dyDescent="0.25">
      <c r="A45" s="6"/>
      <c r="C45" s="134"/>
      <c r="D45" s="14"/>
      <c r="E45" s="14"/>
    </row>
    <row r="46" spans="1:7" x14ac:dyDescent="0.25">
      <c r="A46" s="6" t="s">
        <v>107</v>
      </c>
    </row>
    <row r="47" spans="1:7" x14ac:dyDescent="0.25">
      <c r="A47" s="6" t="s">
        <v>108</v>
      </c>
      <c r="B47" s="2"/>
    </row>
    <row r="48" spans="1:7" x14ac:dyDescent="0.25">
      <c r="A48" s="6"/>
      <c r="B48" s="2"/>
    </row>
    <row r="49" spans="1:2" x14ac:dyDescent="0.25">
      <c r="A49" s="6"/>
      <c r="B49" s="2"/>
    </row>
    <row r="50" spans="1:2" x14ac:dyDescent="0.25">
      <c r="B50" s="2"/>
    </row>
    <row r="51" spans="1:2" x14ac:dyDescent="0.25">
      <c r="A51" s="17"/>
      <c r="B51" s="2"/>
    </row>
    <row r="52" spans="1:2" x14ac:dyDescent="0.25">
      <c r="A52" s="17"/>
    </row>
    <row r="53" spans="1:2" x14ac:dyDescent="0.25">
      <c r="A53" s="17"/>
    </row>
  </sheetData>
  <sheetProtection sheet="1" selectLockedCells="1"/>
  <mergeCells count="2">
    <mergeCell ref="A2:E2"/>
    <mergeCell ref="A40:B40"/>
  </mergeCells>
  <conditionalFormatting sqref="E41">
    <cfRule type="cellIs" dxfId="11" priority="10" operator="lessThan">
      <formula>$E$40</formula>
    </cfRule>
  </conditionalFormatting>
  <conditionalFormatting sqref="C41">
    <cfRule type="cellIs" dxfId="10" priority="15" operator="lessThan">
      <formula>$C$40</formula>
    </cfRule>
  </conditionalFormatting>
  <conditionalFormatting sqref="C44:F44">
    <cfRule type="containsText" dxfId="9" priority="4" operator="containsText" text="ALL">
      <formula>NOT(ISERROR(SEARCH("ALL",C44)))</formula>
    </cfRule>
    <cfRule type="containsText" dxfId="8" priority="5" operator="containsText" text="mANUAL">
      <formula>NOT(ISERROR(SEARCH("mANUAL",C44)))</formula>
    </cfRule>
  </conditionalFormatting>
  <conditionalFormatting sqref="C31">
    <cfRule type="cellIs" dxfId="7" priority="3" operator="greaterThan">
      <formula>$E$27</formula>
    </cfRule>
  </conditionalFormatting>
  <conditionalFormatting sqref="F41">
    <cfRule type="expression" dxfId="6" priority="2">
      <formula>$F$41&lt;$F$40</formula>
    </cfRule>
  </conditionalFormatting>
  <conditionalFormatting sqref="D41">
    <cfRule type="cellIs" dxfId="5" priority="1" operator="lessThan">
      <formula>$D$40</formula>
    </cfRule>
  </conditionalFormatting>
  <dataValidations count="1">
    <dataValidation type="date" allowBlank="1" showInputMessage="1" showErrorMessage="1" errorTitle="Date Entry" error="Enter service dates during quarter designated above." promptTitle="Enter Service Period Dates" sqref="C11:C24" xr:uid="{00000000-0002-0000-0100-000000000000}">
      <formula1>$C$8</formula1>
      <formula2>$C$9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'Service Period Dropdown Info'!$A$2:$A$7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CCFF"/>
  </sheetPr>
  <dimension ref="A1:G54"/>
  <sheetViews>
    <sheetView showGridLines="0" topLeftCell="A18" zoomScaleNormal="100" workbookViewId="0">
      <selection activeCell="C49" sqref="C49"/>
    </sheetView>
  </sheetViews>
  <sheetFormatPr defaultRowHeight="15" x14ac:dyDescent="0.25"/>
  <cols>
    <col min="1" max="1" width="24.85546875" style="81" customWidth="1"/>
    <col min="2" max="2" width="12.28515625" style="9" customWidth="1"/>
    <col min="3" max="3" width="14" style="9" customWidth="1"/>
    <col min="4" max="4" width="13.42578125" style="9" customWidth="1"/>
    <col min="5" max="5" width="13" style="9" customWidth="1"/>
    <col min="6" max="6" width="12.28515625" style="81" customWidth="1"/>
    <col min="7" max="7" width="10.7109375" style="81" customWidth="1"/>
    <col min="8" max="8" width="10.7109375" style="81" bestFit="1" customWidth="1"/>
    <col min="9" max="9" width="5.7109375" style="81" customWidth="1"/>
    <col min="10" max="16384" width="9.140625" style="81"/>
  </cols>
  <sheetData>
    <row r="1" spans="1:6" ht="18.75" x14ac:dyDescent="0.3">
      <c r="A1" s="138" t="s">
        <v>76</v>
      </c>
      <c r="B1" s="117"/>
      <c r="C1" s="117"/>
      <c r="D1" s="117"/>
      <c r="E1" s="117"/>
      <c r="F1" s="118"/>
    </row>
    <row r="2" spans="1:6" ht="9.75" customHeight="1" x14ac:dyDescent="0.25">
      <c r="A2" s="82"/>
    </row>
    <row r="3" spans="1:6" ht="15" customHeight="1" x14ac:dyDescent="0.25">
      <c r="A3" s="82" t="s">
        <v>105</v>
      </c>
      <c r="B3" s="114" t="s">
        <v>141</v>
      </c>
    </row>
    <row r="4" spans="1:6" ht="5.25" customHeight="1" x14ac:dyDescent="0.25"/>
    <row r="5" spans="1:6" s="116" customFormat="1" x14ac:dyDescent="0.25">
      <c r="A5" s="147" t="s">
        <v>25</v>
      </c>
      <c r="B5" s="148"/>
      <c r="C5" s="148"/>
      <c r="D5" s="148"/>
      <c r="E5" s="115"/>
      <c r="F5" s="115"/>
    </row>
    <row r="6" spans="1:6" ht="19.5" customHeight="1" x14ac:dyDescent="0.25">
      <c r="A6" s="83" t="s">
        <v>62</v>
      </c>
      <c r="E6" s="84" t="s">
        <v>63</v>
      </c>
      <c r="F6" s="85" t="s">
        <v>65</v>
      </c>
    </row>
    <row r="7" spans="1:6" x14ac:dyDescent="0.25">
      <c r="A7" s="86" t="s">
        <v>0</v>
      </c>
      <c r="B7" s="87"/>
      <c r="E7" s="84" t="s">
        <v>64</v>
      </c>
      <c r="F7" s="85" t="s">
        <v>66</v>
      </c>
    </row>
    <row r="8" spans="1:6" x14ac:dyDescent="0.25">
      <c r="A8" s="88" t="s">
        <v>1</v>
      </c>
      <c r="B8" s="56">
        <f>IF(B3="FA24",'Service Period Dropdown Info'!B7,IF(B3="WI23",'Service Period Dropdown Info'!B2,IF(B3="SP23",'Service Period Dropdown Info'!B3,IF(B3="FA23",'Service Period Dropdown Info'!B4,IF(B3="WI24",'Service Period Dropdown Info'!B5,IF(B3="SP24",'Service Period Dropdown Info'!B6,"Entry Required"))))))</f>
        <v>45558</v>
      </c>
      <c r="C8" s="89" t="s">
        <v>27</v>
      </c>
      <c r="D8" s="9">
        <f>NETWORKDAYS(B8,B9)</f>
        <v>60</v>
      </c>
      <c r="E8" s="8">
        <f>D8*$D$29</f>
        <v>16666.666666666668</v>
      </c>
      <c r="F8" s="90">
        <f>E8*B29</f>
        <v>16666.666666666668</v>
      </c>
    </row>
    <row r="9" spans="1:6" x14ac:dyDescent="0.25">
      <c r="A9" s="88" t="s">
        <v>2</v>
      </c>
      <c r="B9" s="56">
        <f>IF($B$3="FA24",'Service Period Dropdown Info'!C7,IF(B3="WI23",'Service Period Dropdown Info'!C2,IF(B3="SP23",'Service Period Dropdown Info'!C3,IF(B3="FA23",'Service Period Dropdown Info'!C4,IF(B3="WI24",'Service Period Dropdown Info'!C5,IF(B3="SP24",'Service Period Dropdown Info'!C6,"Entry Required"))))))</f>
        <v>45640</v>
      </c>
      <c r="C9" s="91"/>
      <c r="E9" s="8"/>
      <c r="F9" s="80"/>
    </row>
    <row r="10" spans="1:6" ht="20.25" customHeight="1" x14ac:dyDescent="0.25">
      <c r="A10" s="86" t="s">
        <v>31</v>
      </c>
      <c r="B10" s="87"/>
      <c r="C10" s="91"/>
      <c r="E10" s="8"/>
      <c r="F10" s="80"/>
    </row>
    <row r="11" spans="1:6" x14ac:dyDescent="0.25">
      <c r="A11" s="88" t="s">
        <v>1</v>
      </c>
      <c r="B11" s="111">
        <v>45019</v>
      </c>
      <c r="C11" s="89" t="s">
        <v>28</v>
      </c>
      <c r="D11" s="9">
        <f>NETWORKDAYS(B11,B12)</f>
        <v>40</v>
      </c>
      <c r="E11" s="8">
        <f>D11*$D$29</f>
        <v>11111.111111111111</v>
      </c>
      <c r="F11" s="90">
        <f>E11*$B$29</f>
        <v>11111.111111111111</v>
      </c>
    </row>
    <row r="12" spans="1:6" x14ac:dyDescent="0.25">
      <c r="A12" s="88" t="s">
        <v>2</v>
      </c>
      <c r="B12" s="111">
        <v>45072</v>
      </c>
      <c r="C12" s="91"/>
      <c r="E12" s="92"/>
      <c r="F12" s="90"/>
    </row>
    <row r="13" spans="1:6" ht="25.5" customHeight="1" x14ac:dyDescent="0.25">
      <c r="A13" s="86" t="s">
        <v>30</v>
      </c>
      <c r="B13" s="87"/>
      <c r="C13" s="91"/>
      <c r="E13" s="8"/>
      <c r="F13" s="90"/>
    </row>
    <row r="14" spans="1:6" x14ac:dyDescent="0.25">
      <c r="A14" s="88" t="s">
        <v>1</v>
      </c>
      <c r="B14" s="111">
        <v>45073</v>
      </c>
      <c r="C14" s="89" t="s">
        <v>29</v>
      </c>
      <c r="D14" s="9">
        <f>NETWORKDAYS(B14,B15)</f>
        <v>10</v>
      </c>
      <c r="E14" s="93">
        <f>(D14*$D$29)*-1</f>
        <v>-2777.7777777777778</v>
      </c>
      <c r="F14" s="90">
        <f>E14*$B$29</f>
        <v>-2777.7777777777778</v>
      </c>
    </row>
    <row r="15" spans="1:6" x14ac:dyDescent="0.25">
      <c r="A15" s="88" t="s">
        <v>2</v>
      </c>
      <c r="B15" s="111">
        <v>45086</v>
      </c>
      <c r="C15" s="91"/>
      <c r="E15" s="93"/>
      <c r="F15" s="90"/>
    </row>
    <row r="16" spans="1:6" ht="19.5" customHeight="1" x14ac:dyDescent="0.25">
      <c r="A16" s="86" t="s">
        <v>47</v>
      </c>
      <c r="B16" s="87"/>
      <c r="C16" s="91"/>
      <c r="E16" s="93"/>
      <c r="F16" s="90"/>
    </row>
    <row r="17" spans="1:7" ht="15.75" customHeight="1" x14ac:dyDescent="0.25">
      <c r="A17" s="88" t="s">
        <v>1</v>
      </c>
      <c r="B17" s="111"/>
      <c r="C17" s="89" t="s">
        <v>48</v>
      </c>
      <c r="D17" s="9">
        <f>NETWORKDAYS(B17,B18)</f>
        <v>0</v>
      </c>
      <c r="E17" s="93">
        <f>(D17*$D$29)*-1</f>
        <v>0</v>
      </c>
      <c r="F17" s="90">
        <f>E17*$B$29</f>
        <v>0</v>
      </c>
    </row>
    <row r="18" spans="1:7" x14ac:dyDescent="0.25">
      <c r="A18" s="88" t="s">
        <v>2</v>
      </c>
      <c r="B18" s="111"/>
      <c r="C18" s="91"/>
      <c r="E18" s="8"/>
      <c r="F18" s="90"/>
    </row>
    <row r="19" spans="1:7" ht="23.25" customHeight="1" x14ac:dyDescent="0.25">
      <c r="A19" s="86" t="s">
        <v>109</v>
      </c>
      <c r="B19" s="94"/>
      <c r="C19" s="91"/>
      <c r="E19" s="8"/>
      <c r="F19" s="90"/>
    </row>
    <row r="20" spans="1:7" x14ac:dyDescent="0.25">
      <c r="A20" s="88" t="s">
        <v>1</v>
      </c>
      <c r="B20" s="111">
        <v>45087</v>
      </c>
      <c r="C20" s="95" t="s">
        <v>32</v>
      </c>
      <c r="D20" s="9">
        <f>NETWORKDAYS(B20,B21)</f>
        <v>5</v>
      </c>
      <c r="E20" s="8">
        <f>D20*D29</f>
        <v>1388.8888888888889</v>
      </c>
      <c r="F20" s="90">
        <f>E20*$B$29</f>
        <v>1388.8888888888889</v>
      </c>
      <c r="G20" s="8"/>
    </row>
    <row r="21" spans="1:7" x14ac:dyDescent="0.25">
      <c r="A21" s="88" t="s">
        <v>2</v>
      </c>
      <c r="B21" s="111">
        <v>45093</v>
      </c>
      <c r="C21" s="95"/>
      <c r="E21" s="8"/>
      <c r="F21" s="90"/>
    </row>
    <row r="22" spans="1:7" ht="9" customHeight="1" x14ac:dyDescent="0.25">
      <c r="A22" s="88"/>
      <c r="B22" s="96"/>
      <c r="C22" s="95"/>
      <c r="E22" s="8"/>
      <c r="F22" s="90"/>
    </row>
    <row r="23" spans="1:7" ht="18.75" customHeight="1" x14ac:dyDescent="0.25">
      <c r="A23" s="88" t="s">
        <v>1</v>
      </c>
      <c r="B23" s="111">
        <v>45014</v>
      </c>
      <c r="C23" s="95" t="s">
        <v>32</v>
      </c>
      <c r="D23" s="9">
        <f>IF((B23:B24)=0,0, NETWORKDAYS(B23,B24))</f>
        <v>3</v>
      </c>
      <c r="E23" s="8">
        <f>D23*D29</f>
        <v>833.33333333333326</v>
      </c>
      <c r="F23" s="90">
        <f>E23*$B$29</f>
        <v>833.33333333333326</v>
      </c>
    </row>
    <row r="24" spans="1:7" x14ac:dyDescent="0.25">
      <c r="A24" s="88" t="s">
        <v>2</v>
      </c>
      <c r="B24" s="111">
        <v>45018</v>
      </c>
      <c r="C24" s="91"/>
      <c r="E24" s="81"/>
      <c r="F24" s="90"/>
    </row>
    <row r="25" spans="1:7" x14ac:dyDescent="0.25">
      <c r="A25" s="97"/>
      <c r="B25" s="79"/>
      <c r="C25" s="98" t="s">
        <v>33</v>
      </c>
      <c r="D25" s="99"/>
      <c r="E25" s="100">
        <f>E11+E20+E23</f>
        <v>13333.333333333334</v>
      </c>
      <c r="F25" s="100">
        <f>F11+F20+F23</f>
        <v>13333.333333333334</v>
      </c>
    </row>
    <row r="26" spans="1:7" x14ac:dyDescent="0.25">
      <c r="A26" s="83" t="s">
        <v>61</v>
      </c>
      <c r="C26" s="101"/>
      <c r="E26" s="81"/>
    </row>
    <row r="27" spans="1:7" ht="12.75" customHeight="1" x14ac:dyDescent="0.25">
      <c r="A27" s="97" t="s">
        <v>26</v>
      </c>
      <c r="B27" s="112">
        <v>50000</v>
      </c>
      <c r="C27" s="89" t="s">
        <v>3</v>
      </c>
      <c r="D27" s="49">
        <f>B27/3</f>
        <v>16666.666666666668</v>
      </c>
      <c r="F27" s="102"/>
    </row>
    <row r="28" spans="1:7" ht="9" customHeight="1" x14ac:dyDescent="0.25">
      <c r="A28" s="97"/>
      <c r="B28" s="103"/>
      <c r="C28" s="91"/>
      <c r="D28" s="57"/>
    </row>
    <row r="29" spans="1:7" ht="12.75" customHeight="1" x14ac:dyDescent="0.25">
      <c r="A29" s="97" t="s">
        <v>34</v>
      </c>
      <c r="B29" s="113">
        <v>1</v>
      </c>
      <c r="C29" s="89" t="s">
        <v>36</v>
      </c>
      <c r="D29" s="49">
        <f>(D27/D8)</f>
        <v>277.77777777777777</v>
      </c>
    </row>
    <row r="30" spans="1:7" ht="9.75" customHeight="1" x14ac:dyDescent="0.25">
      <c r="A30" s="97"/>
      <c r="E30" s="81"/>
    </row>
    <row r="31" spans="1:7" ht="12" customHeight="1" x14ac:dyDescent="0.25">
      <c r="A31" s="97" t="s">
        <v>4</v>
      </c>
      <c r="B31" s="57">
        <f>(D29*(D20+D23+D11))*B29</f>
        <v>13333.333333333332</v>
      </c>
      <c r="D31" s="57"/>
      <c r="E31" s="57"/>
    </row>
    <row r="32" spans="1:7" x14ac:dyDescent="0.25">
      <c r="A32" s="97" t="s">
        <v>68</v>
      </c>
      <c r="B32" s="57">
        <f>B27/9</f>
        <v>5555.5555555555557</v>
      </c>
    </row>
    <row r="33" spans="1:6" x14ac:dyDescent="0.25">
      <c r="A33" s="97" t="s">
        <v>35</v>
      </c>
      <c r="B33" s="57">
        <f>B32*B29</f>
        <v>5555.5555555555557</v>
      </c>
      <c r="F33" s="8"/>
    </row>
    <row r="34" spans="1:6" ht="10.5" customHeight="1" x14ac:dyDescent="0.25">
      <c r="A34" s="97"/>
      <c r="F34" s="8"/>
    </row>
    <row r="35" spans="1:6" ht="12.75" customHeight="1" x14ac:dyDescent="0.25">
      <c r="A35" s="83" t="s">
        <v>110</v>
      </c>
      <c r="F35" s="8"/>
    </row>
    <row r="36" spans="1:6" x14ac:dyDescent="0.25">
      <c r="A36" s="97"/>
      <c r="B36" s="104" t="s">
        <v>20</v>
      </c>
      <c r="C36" s="104" t="s">
        <v>21</v>
      </c>
      <c r="D36" s="104" t="s">
        <v>22</v>
      </c>
    </row>
    <row r="37" spans="1:6" ht="12" customHeight="1" x14ac:dyDescent="0.25">
      <c r="A37" s="105" t="s">
        <v>58</v>
      </c>
      <c r="B37" s="52" t="str">
        <f>IF($B$3="FA24",'Service Period Dropdown Info'!H7,IF($B$3="WI23",'Service Period Dropdown Info'!H2,IF($B$3="SP23",'Service Period Dropdown Info'!H3,IF($B$3="FA23",'Service Period Dropdown Info'!H4,IF($B$3="WI24",'Service Period Dropdown Info'!H5,IF($B$3="SP24",'Service Period Dropdown Info'!H6,"Entry Required"))))))</f>
        <v>Oct</v>
      </c>
      <c r="C37" s="52" t="str">
        <f>IF($B$3="FA24",'Service Period Dropdown Info'!I7,IF($B$3="WI23",'Service Period Dropdown Info'!I2,IF($B$3="SP23",'Service Period Dropdown Info'!I3,IF($B$3="FA23",'Service Period Dropdown Info'!I4,IF($B$3="WI24",'Service Period Dropdown Info'!I5,IF($B$3="SP24",'Service Period Dropdown Info'!I6,"Entry Required"))))))</f>
        <v>Nov</v>
      </c>
      <c r="D37" s="52" t="str">
        <f>IF($B$3="FA24",'Service Period Dropdown Info'!J7,IF($B$3="WI23",'Service Period Dropdown Info'!J2,IF($B$3="SP23",'Service Period Dropdown Info'!J3,IF($B$3="FA23",'Service Period Dropdown Info'!J4,IF($B$3="WI24",'Service Period Dropdown Info'!J5,IF($B$3="SP24",'Service Period Dropdown Info'!J6,"Entry Required"))))))</f>
        <v>Dec</v>
      </c>
    </row>
    <row r="38" spans="1:6" x14ac:dyDescent="0.25">
      <c r="A38" s="105" t="s">
        <v>69</v>
      </c>
      <c r="B38" s="106">
        <f>B32/B40</f>
        <v>241.54589371980677</v>
      </c>
      <c r="C38" s="53">
        <f>B32/C40</f>
        <v>264.55026455026456</v>
      </c>
      <c r="D38" s="53">
        <f>$B$32/D40</f>
        <v>252.52525252525254</v>
      </c>
    </row>
    <row r="39" spans="1:6" x14ac:dyDescent="0.25">
      <c r="A39" s="107" t="s">
        <v>70</v>
      </c>
      <c r="B39" s="53">
        <f>(B32/B40)*B29</f>
        <v>241.54589371980677</v>
      </c>
      <c r="C39" s="53">
        <f>(B32/C40)*B29</f>
        <v>264.55026455026456</v>
      </c>
      <c r="D39" s="53">
        <f>(B32/D40)*B29</f>
        <v>252.52525252525254</v>
      </c>
    </row>
    <row r="40" spans="1:6" ht="11.25" customHeight="1" x14ac:dyDescent="0.25">
      <c r="A40" s="105" t="s">
        <v>5</v>
      </c>
      <c r="B40" s="54">
        <f>IF($B$3="FA24",'Payroll Working Days'!C35, IF($B$3="WI23",'Payroll Working Days'!C14,IF($B$3="SP23",'Payroll Working Days'!C17,IF($B$3="FA23",'Payroll Working Days'!C23,IF($B$3="WI24",'Payroll Working Days'!C26,IF($B$3="SP24",'Payroll Working Days'!C29,"Entry Required"))))))</f>
        <v>23</v>
      </c>
      <c r="C40" s="54">
        <f>IF($B$3="FA24",'Payroll Working Days'!C36, IF($B$3="WI23",'Payroll Working Days'!C15,IF($B$3="SP23",'Payroll Working Days'!C18,IF($B$3="FA23",'Payroll Working Days'!C24,IF($B$3="WI24",'Payroll Working Days'!C27,IF($B$3="SP24",'Payroll Working Days'!C30,"Entry Required"))))))</f>
        <v>21</v>
      </c>
      <c r="D40" s="54">
        <f>IF($B$3="FA24",'Payroll Working Days'!C37, IF($B$3="WI23",'Payroll Working Days'!C16,IF($B$3="SP23",'Payroll Working Days'!C19,IF($B$3="FA23",'Payroll Working Days'!C25,IF($B$3="WI24",'Payroll Working Days'!C28,IF($B$3="SP24",'Payroll Working Days'!C31,"Entry Required"))))))</f>
        <v>22</v>
      </c>
    </row>
    <row r="41" spans="1:6" x14ac:dyDescent="0.25">
      <c r="A41" s="105" t="s">
        <v>46</v>
      </c>
      <c r="B41" s="55">
        <f>IF(B31&lt;B33,B31/B39,B33/B39)</f>
        <v>23</v>
      </c>
      <c r="C41" s="55">
        <f>IF(B43&gt;=B33,C40, B43/C39)</f>
        <v>21</v>
      </c>
      <c r="D41" s="55">
        <f>IF(C43&gt;=B33,D40, C43/D39)</f>
        <v>8.7999999999999936</v>
      </c>
    </row>
    <row r="42" spans="1:6" x14ac:dyDescent="0.25">
      <c r="A42" s="105" t="s">
        <v>57</v>
      </c>
      <c r="B42" s="106">
        <f>B41*(B38*$B$29)</f>
        <v>5555.5555555555557</v>
      </c>
      <c r="C42" s="106">
        <f>C41*(C38*$B$29)</f>
        <v>5555.5555555555557</v>
      </c>
      <c r="D42" s="106">
        <f>D41*(D38*$B$29)</f>
        <v>2222.2222222222208</v>
      </c>
    </row>
    <row r="43" spans="1:6" x14ac:dyDescent="0.25">
      <c r="A43" s="105" t="s">
        <v>56</v>
      </c>
      <c r="B43" s="53">
        <f>IF(B31&gt;0,B31-(B39*B40),0)</f>
        <v>7777.7777777777765</v>
      </c>
      <c r="C43" s="53">
        <f>B43-(C41*C39)</f>
        <v>2222.2222222222208</v>
      </c>
      <c r="D43" s="53">
        <f>C43-(D41*D39)</f>
        <v>0</v>
      </c>
    </row>
    <row r="44" spans="1:6" ht="16.5" customHeight="1" x14ac:dyDescent="0.25">
      <c r="A44" s="108" t="s">
        <v>24</v>
      </c>
      <c r="B44" s="75" t="str">
        <f>IF(B41=B40,"ALL PAY", "MANUAL TRANS")</f>
        <v>ALL PAY</v>
      </c>
      <c r="C44" s="75" t="str">
        <f>IF(C41=C40,"ALL PAY", "MANUAL TRANS")</f>
        <v>ALL PAY</v>
      </c>
      <c r="D44" s="75" t="str">
        <f>IF(D41=D40,"ALL PAY", "MANUAL TRANS")</f>
        <v>MANUAL TRANS</v>
      </c>
    </row>
    <row r="45" spans="1:6" x14ac:dyDescent="0.25">
      <c r="A45" s="97"/>
      <c r="B45" s="109"/>
      <c r="C45" s="110"/>
      <c r="D45" s="110"/>
    </row>
    <row r="46" spans="1:6" ht="9.75" customHeight="1" x14ac:dyDescent="0.25">
      <c r="A46" s="97" t="s">
        <v>111</v>
      </c>
    </row>
    <row r="47" spans="1:6" x14ac:dyDescent="0.25">
      <c r="A47" s="97" t="s">
        <v>108</v>
      </c>
    </row>
    <row r="48" spans="1:6" x14ac:dyDescent="0.25">
      <c r="A48" s="97"/>
    </row>
    <row r="49" spans="1:1" x14ac:dyDescent="0.25">
      <c r="A49" s="97"/>
    </row>
    <row r="50" spans="1:1" x14ac:dyDescent="0.25">
      <c r="A50" s="97"/>
    </row>
    <row r="52" spans="1:1" x14ac:dyDescent="0.25">
      <c r="A52" s="102"/>
    </row>
    <row r="53" spans="1:1" x14ac:dyDescent="0.25">
      <c r="A53" s="102"/>
    </row>
    <row r="54" spans="1:1" x14ac:dyDescent="0.25">
      <c r="A54" s="102"/>
    </row>
  </sheetData>
  <sheetProtection selectLockedCells="1"/>
  <mergeCells count="1">
    <mergeCell ref="A5:D5"/>
  </mergeCells>
  <conditionalFormatting sqref="C41">
    <cfRule type="cellIs" dxfId="4" priority="6" operator="lessThan">
      <formula>$C$40</formula>
    </cfRule>
  </conditionalFormatting>
  <conditionalFormatting sqref="B41">
    <cfRule type="cellIs" dxfId="3" priority="7" operator="lessThan">
      <formula>$B$40</formula>
    </cfRule>
  </conditionalFormatting>
  <conditionalFormatting sqref="B44:D44">
    <cfRule type="containsText" dxfId="2" priority="2" operator="containsText" text="ALL">
      <formula>NOT(ISERROR(SEARCH("ALL",B44)))</formula>
    </cfRule>
    <cfRule type="containsText" dxfId="1" priority="3" operator="containsText" text="mANUAL">
      <formula>NOT(ISERROR(SEARCH("mANUAL",B44)))</formula>
    </cfRule>
  </conditionalFormatting>
  <conditionalFormatting sqref="D41">
    <cfRule type="expression" dxfId="0" priority="1">
      <formula>$D$41&lt;$D$40</formula>
    </cfRule>
  </conditionalFormatting>
  <dataValidations count="1">
    <dataValidation type="date" allowBlank="1" showInputMessage="1" showErrorMessage="1" errorTitle="Date Error" error="Enter dates within service period of the quarter designated  above." promptTitle="Enter Service Period Dates" sqref="B11:B24" xr:uid="{00000000-0002-0000-0200-000000000000}">
      <formula1>$B$8</formula1>
      <formula2>$B$9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'Service Period Dropdown Info'!$A$2:$A$7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C42"/>
  <sheetViews>
    <sheetView showGridLines="0" topLeftCell="A11" workbookViewId="0">
      <selection activeCell="C29" sqref="C29"/>
    </sheetView>
  </sheetViews>
  <sheetFormatPr defaultRowHeight="15" x14ac:dyDescent="0.25"/>
  <cols>
    <col min="1" max="1" width="15.28515625" customWidth="1"/>
    <col min="2" max="2" width="15.28515625" style="3" customWidth="1"/>
    <col min="3" max="3" width="19" customWidth="1"/>
  </cols>
  <sheetData>
    <row r="1" spans="1:3" s="66" customFormat="1" ht="35.25" customHeight="1" x14ac:dyDescent="0.25">
      <c r="A1" s="136" t="s">
        <v>18</v>
      </c>
      <c r="B1" s="137" t="s">
        <v>19</v>
      </c>
      <c r="C1" s="136" t="s">
        <v>112</v>
      </c>
    </row>
    <row r="2" spans="1:3" x14ac:dyDescent="0.25">
      <c r="A2" s="4" t="s">
        <v>6</v>
      </c>
      <c r="B2" s="5">
        <v>2022</v>
      </c>
      <c r="C2" s="4">
        <v>21</v>
      </c>
    </row>
    <row r="3" spans="1:3" x14ac:dyDescent="0.25">
      <c r="A3" s="4" t="s">
        <v>7</v>
      </c>
      <c r="B3" s="5">
        <v>2022</v>
      </c>
      <c r="C3" s="4">
        <v>20</v>
      </c>
    </row>
    <row r="4" spans="1:3" x14ac:dyDescent="0.25">
      <c r="A4" s="4" t="s">
        <v>8</v>
      </c>
      <c r="B4" s="5">
        <v>2022</v>
      </c>
      <c r="C4" s="4">
        <v>23</v>
      </c>
    </row>
    <row r="5" spans="1:3" x14ac:dyDescent="0.25">
      <c r="A5" s="4" t="s">
        <v>9</v>
      </c>
      <c r="B5" s="5">
        <v>2022</v>
      </c>
      <c r="C5" s="4">
        <v>21</v>
      </c>
    </row>
    <row r="6" spans="1:3" x14ac:dyDescent="0.25">
      <c r="A6" s="4" t="s">
        <v>10</v>
      </c>
      <c r="B6" s="5">
        <v>2022</v>
      </c>
      <c r="C6" s="4">
        <v>22</v>
      </c>
    </row>
    <row r="7" spans="1:3" x14ac:dyDescent="0.25">
      <c r="A7" s="4" t="s">
        <v>11</v>
      </c>
      <c r="B7" s="5">
        <v>2022</v>
      </c>
      <c r="C7" s="4">
        <v>22</v>
      </c>
    </row>
    <row r="8" spans="1:3" x14ac:dyDescent="0.25">
      <c r="A8" s="4" t="s">
        <v>12</v>
      </c>
      <c r="B8" s="5">
        <v>2022</v>
      </c>
      <c r="C8" s="4">
        <v>21</v>
      </c>
    </row>
    <row r="9" spans="1:3" x14ac:dyDescent="0.25">
      <c r="A9" s="4" t="s">
        <v>13</v>
      </c>
      <c r="B9" s="5">
        <v>2022</v>
      </c>
      <c r="C9" s="4">
        <v>23</v>
      </c>
    </row>
    <row r="10" spans="1:3" x14ac:dyDescent="0.25">
      <c r="A10" s="4" t="s">
        <v>14</v>
      </c>
      <c r="B10" s="5">
        <v>2022</v>
      </c>
      <c r="C10" s="4">
        <v>22</v>
      </c>
    </row>
    <row r="11" spans="1:3" x14ac:dyDescent="0.25">
      <c r="A11" s="4" t="s">
        <v>15</v>
      </c>
      <c r="B11" s="5">
        <v>2022</v>
      </c>
      <c r="C11" s="4">
        <v>21</v>
      </c>
    </row>
    <row r="12" spans="1:3" x14ac:dyDescent="0.25">
      <c r="A12" s="4" t="s">
        <v>16</v>
      </c>
      <c r="B12" s="5">
        <v>2022</v>
      </c>
      <c r="C12" s="4">
        <v>22</v>
      </c>
    </row>
    <row r="13" spans="1:3" x14ac:dyDescent="0.25">
      <c r="A13" s="4" t="s">
        <v>17</v>
      </c>
      <c r="B13" s="5">
        <v>2022</v>
      </c>
      <c r="C13" s="4">
        <v>22</v>
      </c>
    </row>
    <row r="14" spans="1:3" x14ac:dyDescent="0.25">
      <c r="A14" s="4" t="s">
        <v>6</v>
      </c>
      <c r="B14" s="5">
        <v>2023</v>
      </c>
      <c r="C14" s="4">
        <v>22</v>
      </c>
    </row>
    <row r="15" spans="1:3" x14ac:dyDescent="0.25">
      <c r="A15" s="4" t="s">
        <v>7</v>
      </c>
      <c r="B15" s="5">
        <v>2023</v>
      </c>
      <c r="C15" s="4">
        <v>20</v>
      </c>
    </row>
    <row r="16" spans="1:3" x14ac:dyDescent="0.25">
      <c r="A16" s="4" t="s">
        <v>8</v>
      </c>
      <c r="B16" s="5">
        <v>2023</v>
      </c>
      <c r="C16" s="4">
        <v>23</v>
      </c>
    </row>
    <row r="17" spans="1:3" x14ac:dyDescent="0.25">
      <c r="A17" s="4" t="s">
        <v>9</v>
      </c>
      <c r="B17" s="5">
        <v>2023</v>
      </c>
      <c r="C17" s="4">
        <v>20</v>
      </c>
    </row>
    <row r="18" spans="1:3" x14ac:dyDescent="0.25">
      <c r="A18" s="4" t="s">
        <v>10</v>
      </c>
      <c r="B18" s="5">
        <v>2023</v>
      </c>
      <c r="C18" s="4">
        <v>23</v>
      </c>
    </row>
    <row r="19" spans="1:3" x14ac:dyDescent="0.25">
      <c r="A19" s="4" t="s">
        <v>11</v>
      </c>
      <c r="B19" s="5">
        <v>2023</v>
      </c>
      <c r="C19" s="4">
        <v>22</v>
      </c>
    </row>
    <row r="20" spans="1:3" x14ac:dyDescent="0.25">
      <c r="A20" s="4" t="s">
        <v>12</v>
      </c>
      <c r="B20" s="5">
        <v>2023</v>
      </c>
      <c r="C20" s="4">
        <v>21</v>
      </c>
    </row>
    <row r="21" spans="1:3" x14ac:dyDescent="0.25">
      <c r="A21" s="4" t="s">
        <v>13</v>
      </c>
      <c r="B21" s="5">
        <v>2023</v>
      </c>
      <c r="C21" s="4">
        <v>23</v>
      </c>
    </row>
    <row r="22" spans="1:3" x14ac:dyDescent="0.25">
      <c r="A22" s="4" t="s">
        <v>14</v>
      </c>
      <c r="B22" s="5">
        <v>2023</v>
      </c>
      <c r="C22" s="4">
        <v>21</v>
      </c>
    </row>
    <row r="23" spans="1:3" x14ac:dyDescent="0.25">
      <c r="A23" s="4" t="s">
        <v>15</v>
      </c>
      <c r="B23" s="5">
        <v>2023</v>
      </c>
      <c r="C23" s="4">
        <v>22</v>
      </c>
    </row>
    <row r="24" spans="1:3" x14ac:dyDescent="0.25">
      <c r="A24" s="4" t="s">
        <v>16</v>
      </c>
      <c r="B24" s="5">
        <v>2023</v>
      </c>
      <c r="C24" s="4">
        <v>22</v>
      </c>
    </row>
    <row r="25" spans="1:3" x14ac:dyDescent="0.25">
      <c r="A25" s="4" t="s">
        <v>17</v>
      </c>
      <c r="B25" s="5">
        <v>2023</v>
      </c>
      <c r="C25" s="4">
        <v>21</v>
      </c>
    </row>
    <row r="26" spans="1:3" x14ac:dyDescent="0.25">
      <c r="A26" s="47" t="s">
        <v>6</v>
      </c>
      <c r="B26" s="5">
        <v>2024</v>
      </c>
      <c r="C26" s="4">
        <f>NETWORKDAYS(DATE(2024,1,1),DATE(2024,1,31))</f>
        <v>23</v>
      </c>
    </row>
    <row r="27" spans="1:3" x14ac:dyDescent="0.25">
      <c r="A27" s="47" t="s">
        <v>7</v>
      </c>
      <c r="B27" s="5">
        <v>2024</v>
      </c>
      <c r="C27" s="4">
        <f>NETWORKDAYS(DATE(2024,2,1),DATE(2024,2,29),0)</f>
        <v>21</v>
      </c>
    </row>
    <row r="28" spans="1:3" x14ac:dyDescent="0.25">
      <c r="A28" s="47" t="s">
        <v>8</v>
      </c>
      <c r="B28" s="5">
        <v>2024</v>
      </c>
      <c r="C28" s="4">
        <f>NETWORKDAYS(DATE(2024,3,1),DATE(2024,3,31),0)</f>
        <v>21</v>
      </c>
    </row>
    <row r="29" spans="1:3" x14ac:dyDescent="0.25">
      <c r="A29" s="47" t="s">
        <v>9</v>
      </c>
      <c r="B29" s="5">
        <v>2024</v>
      </c>
      <c r="C29" s="4">
        <v>22</v>
      </c>
    </row>
    <row r="30" spans="1:3" x14ac:dyDescent="0.25">
      <c r="A30" s="47" t="s">
        <v>10</v>
      </c>
      <c r="B30" s="5">
        <v>2024</v>
      </c>
      <c r="C30" s="4">
        <f>NETWORKDAYS(DATE(2024,5,1),DATE(2024,5,31))</f>
        <v>23</v>
      </c>
    </row>
    <row r="31" spans="1:3" x14ac:dyDescent="0.25">
      <c r="A31" s="47" t="s">
        <v>11</v>
      </c>
      <c r="B31" s="5">
        <v>2024</v>
      </c>
      <c r="C31" s="4">
        <f>NETWORKDAYS(DATE(2024,6,1),DATE(2024,6,30),0)</f>
        <v>20</v>
      </c>
    </row>
    <row r="32" spans="1:3" x14ac:dyDescent="0.25">
      <c r="A32" s="47" t="s">
        <v>12</v>
      </c>
      <c r="B32" s="5">
        <v>2024</v>
      </c>
      <c r="C32" s="4">
        <v>23</v>
      </c>
    </row>
    <row r="33" spans="1:3" x14ac:dyDescent="0.25">
      <c r="A33" s="47" t="s">
        <v>13</v>
      </c>
      <c r="B33" s="5">
        <v>2024</v>
      </c>
      <c r="C33" s="4">
        <v>22</v>
      </c>
    </row>
    <row r="34" spans="1:3" x14ac:dyDescent="0.25">
      <c r="A34" s="47" t="s">
        <v>14</v>
      </c>
      <c r="B34" s="5">
        <v>2024</v>
      </c>
      <c r="C34" s="47">
        <v>21</v>
      </c>
    </row>
    <row r="35" spans="1:3" x14ac:dyDescent="0.25">
      <c r="A35" s="47" t="s">
        <v>15</v>
      </c>
      <c r="B35" s="5">
        <v>2024</v>
      </c>
      <c r="C35" s="47">
        <v>23</v>
      </c>
    </row>
    <row r="36" spans="1:3" x14ac:dyDescent="0.25">
      <c r="A36" s="47" t="s">
        <v>16</v>
      </c>
      <c r="B36" s="5">
        <v>2024</v>
      </c>
      <c r="C36" s="47">
        <v>21</v>
      </c>
    </row>
    <row r="37" spans="1:3" x14ac:dyDescent="0.25">
      <c r="A37" s="47" t="s">
        <v>17</v>
      </c>
      <c r="B37" s="5">
        <v>2024</v>
      </c>
      <c r="C37" s="47">
        <v>22</v>
      </c>
    </row>
    <row r="38" spans="1:3" x14ac:dyDescent="0.25">
      <c r="A38" s="149"/>
      <c r="B38" s="150"/>
      <c r="C38" s="149"/>
    </row>
    <row r="39" spans="1:3" x14ac:dyDescent="0.25">
      <c r="A39" t="s">
        <v>82</v>
      </c>
    </row>
    <row r="40" spans="1:3" x14ac:dyDescent="0.25">
      <c r="A40" t="s">
        <v>49</v>
      </c>
    </row>
    <row r="41" spans="1:3" x14ac:dyDescent="0.25">
      <c r="A41" t="s">
        <v>51</v>
      </c>
    </row>
    <row r="42" spans="1:3" x14ac:dyDescent="0.25">
      <c r="A42" s="31" t="s">
        <v>50</v>
      </c>
    </row>
  </sheetData>
  <phoneticPr fontId="28" type="noConversion"/>
  <hyperlinks>
    <hyperlink ref="A42" r:id="rId1" xr:uid="{00000000-0004-0000-0300-000000000000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</sheetPr>
  <dimension ref="A1:J9"/>
  <sheetViews>
    <sheetView showGridLines="0" workbookViewId="0">
      <selection activeCell="H7" sqref="H7"/>
    </sheetView>
  </sheetViews>
  <sheetFormatPr defaultRowHeight="15" x14ac:dyDescent="0.25"/>
  <cols>
    <col min="1" max="1" width="6.7109375" customWidth="1"/>
    <col min="2" max="2" width="12" bestFit="1" customWidth="1"/>
    <col min="3" max="3" width="11.140625" bestFit="1" customWidth="1"/>
    <col min="4" max="6" width="11" bestFit="1" customWidth="1"/>
    <col min="7" max="7" width="11.140625" bestFit="1" customWidth="1"/>
    <col min="8" max="9" width="14.140625" bestFit="1" customWidth="1"/>
    <col min="10" max="10" width="14" customWidth="1"/>
  </cols>
  <sheetData>
    <row r="1" spans="1:10" s="135" customFormat="1" x14ac:dyDescent="0.25">
      <c r="A1" s="140" t="s">
        <v>89</v>
      </c>
      <c r="B1" s="140" t="s">
        <v>90</v>
      </c>
      <c r="C1" s="140" t="s">
        <v>91</v>
      </c>
      <c r="D1" s="140" t="s">
        <v>92</v>
      </c>
      <c r="E1" s="140" t="s">
        <v>93</v>
      </c>
      <c r="F1" s="140" t="s">
        <v>94</v>
      </c>
      <c r="G1" s="140" t="s">
        <v>95</v>
      </c>
      <c r="H1" s="140" t="s">
        <v>140</v>
      </c>
      <c r="I1" s="140" t="s">
        <v>139</v>
      </c>
      <c r="J1" s="140" t="s">
        <v>138</v>
      </c>
    </row>
    <row r="2" spans="1:10" x14ac:dyDescent="0.25">
      <c r="A2" s="4" t="s">
        <v>84</v>
      </c>
      <c r="B2" s="28">
        <v>44930</v>
      </c>
      <c r="C2" s="28">
        <v>45010</v>
      </c>
      <c r="D2" s="4" t="s">
        <v>79</v>
      </c>
      <c r="E2" s="4" t="s">
        <v>80</v>
      </c>
      <c r="F2" s="4" t="s">
        <v>98</v>
      </c>
      <c r="G2" s="4" t="s">
        <v>81</v>
      </c>
      <c r="H2" s="4" t="s">
        <v>106</v>
      </c>
      <c r="I2" s="4" t="s">
        <v>81</v>
      </c>
      <c r="J2" s="4" t="s">
        <v>8</v>
      </c>
    </row>
    <row r="3" spans="1:10" x14ac:dyDescent="0.25">
      <c r="A3" s="4" t="s">
        <v>85</v>
      </c>
      <c r="B3" s="28">
        <v>45014</v>
      </c>
      <c r="C3" s="28">
        <v>45093</v>
      </c>
      <c r="D3" s="4" t="s">
        <v>99</v>
      </c>
      <c r="E3" s="4" t="s">
        <v>100</v>
      </c>
      <c r="F3" s="4" t="s">
        <v>10</v>
      </c>
      <c r="G3" s="4" t="s">
        <v>11</v>
      </c>
      <c r="H3" s="4" t="s">
        <v>100</v>
      </c>
      <c r="I3" s="4" t="s">
        <v>10</v>
      </c>
      <c r="J3" s="4" t="s">
        <v>11</v>
      </c>
    </row>
    <row r="4" spans="1:10" x14ac:dyDescent="0.25">
      <c r="A4" s="4" t="s">
        <v>86</v>
      </c>
      <c r="B4" s="28">
        <v>45194</v>
      </c>
      <c r="C4" s="28">
        <v>45276</v>
      </c>
      <c r="D4" s="4" t="s">
        <v>12</v>
      </c>
      <c r="E4" s="4" t="s">
        <v>13</v>
      </c>
      <c r="F4" s="4" t="s">
        <v>96</v>
      </c>
      <c r="G4" s="4" t="s">
        <v>97</v>
      </c>
      <c r="H4" s="4" t="s">
        <v>97</v>
      </c>
      <c r="I4" s="4" t="s">
        <v>79</v>
      </c>
      <c r="J4" s="4" t="s">
        <v>80</v>
      </c>
    </row>
    <row r="5" spans="1:10" x14ac:dyDescent="0.25">
      <c r="A5" s="4" t="s">
        <v>87</v>
      </c>
      <c r="B5" s="28">
        <v>45294</v>
      </c>
      <c r="C5" s="28">
        <v>45374</v>
      </c>
      <c r="D5" s="4" t="s">
        <v>79</v>
      </c>
      <c r="E5" s="4" t="s">
        <v>80</v>
      </c>
      <c r="F5" s="4" t="s">
        <v>98</v>
      </c>
      <c r="G5" s="4" t="s">
        <v>81</v>
      </c>
      <c r="H5" s="4" t="s">
        <v>106</v>
      </c>
      <c r="I5" s="4" t="s">
        <v>81</v>
      </c>
      <c r="J5" s="4" t="s">
        <v>8</v>
      </c>
    </row>
    <row r="6" spans="1:10" x14ac:dyDescent="0.25">
      <c r="A6" s="4" t="s">
        <v>88</v>
      </c>
      <c r="B6" s="28">
        <v>45378</v>
      </c>
      <c r="C6" s="28">
        <v>45457</v>
      </c>
      <c r="D6" s="4" t="s">
        <v>99</v>
      </c>
      <c r="E6" s="4" t="s">
        <v>100</v>
      </c>
      <c r="F6" s="4" t="s">
        <v>10</v>
      </c>
      <c r="G6" s="4" t="s">
        <v>11</v>
      </c>
      <c r="H6" s="4" t="s">
        <v>100</v>
      </c>
      <c r="I6" s="4" t="s">
        <v>10</v>
      </c>
      <c r="J6" s="4" t="s">
        <v>11</v>
      </c>
    </row>
    <row r="7" spans="1:10" x14ac:dyDescent="0.25">
      <c r="A7" s="47" t="s">
        <v>141</v>
      </c>
      <c r="B7" s="28">
        <v>45558</v>
      </c>
      <c r="C7" s="28">
        <v>45640</v>
      </c>
      <c r="D7" s="4" t="s">
        <v>12</v>
      </c>
      <c r="E7" s="4" t="s">
        <v>13</v>
      </c>
      <c r="F7" s="4" t="s">
        <v>96</v>
      </c>
      <c r="G7" s="4" t="s">
        <v>97</v>
      </c>
      <c r="H7" s="4" t="s">
        <v>97</v>
      </c>
      <c r="I7" s="4" t="s">
        <v>79</v>
      </c>
      <c r="J7" s="4" t="s">
        <v>80</v>
      </c>
    </row>
    <row r="9" spans="1:10" x14ac:dyDescent="0.25">
      <c r="A9" t="s">
        <v>113</v>
      </c>
    </row>
  </sheetData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9BCF8C10C0F4DBE17E99B61C93E7A" ma:contentTypeVersion="15" ma:contentTypeDescription="Create a new document." ma:contentTypeScope="" ma:versionID="f60494ef4c02cd813ac21acb9504bb73">
  <xsd:schema xmlns:xsd="http://www.w3.org/2001/XMLSchema" xmlns:xs="http://www.w3.org/2001/XMLSchema" xmlns:p="http://schemas.microsoft.com/office/2006/metadata/properties" xmlns:ns3="39c4a7ff-ac0c-43ae-af92-5dd144f40fa2" xmlns:ns4="b007c6b8-87a0-4d8b-8ecf-e3ec3909a945" targetNamespace="http://schemas.microsoft.com/office/2006/metadata/properties" ma:root="true" ma:fieldsID="8632e0d1489baee44fe2873f9f7d76d7" ns3:_="" ns4:_="">
    <xsd:import namespace="39c4a7ff-ac0c-43ae-af92-5dd144f40fa2"/>
    <xsd:import namespace="b007c6b8-87a0-4d8b-8ecf-e3ec3909a9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4a7ff-ac0c-43ae-af92-5dd144f40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c6b8-87a0-4d8b-8ecf-e3ec3909a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c4a7ff-ac0c-43ae-af92-5dd144f40f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3 t B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D z e 0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3 t B W C i K R 7 g O A A A A E Q A A A B M A H A B G b 3 J t d W x h c y 9 T Z W N 0 a W 9 u M S 5 t I K I Y A C i g F A A A A A A A A A A A A A A A A A A A A A A A A A A A A C t O T S 7 J z M 9 T C I b Q h t Y A U E s B A i 0 A F A A C A A g A 8 3 t B W J 2 I Z o + j A A A A 9 g A A A B I A A A A A A A A A A A A A A A A A A A A A A E N v b m Z p Z y 9 Q Y W N r Y W d l L n h t b F B L A Q I t A B Q A A g A I A P N 7 Q V g P y u m r p A A A A O k A A A A T A A A A A A A A A A A A A A A A A O 8 A A A B b Q 2 9 u d G V u d F 9 U e X B l c 1 0 u e G 1 s U E s B A i 0 A F A A C A A g A 8 3 t B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9 s v + 5 9 I 0 9 J n r 2 Y f 3 K I K Y I A A A A A A g A A A A A A A 2 Y A A M A A A A A Q A A A A s 3 1 o N K r X G h D l 9 X d N H b C + 1 A A A A A A E g A A A o A A A A B A A A A A K C i j r V o A S G E 8 O w 5 4 P r x b W U A A A A N o A q C 9 T X r n m T E N c c t E 1 S m A j F D D D a O w + e m G 6 t t B e w 0 Y 5 f 0 n m N x h 0 N s V 8 e h F v / m A 5 X y k u M W G D m Z B X P D K e t d R 3 l U 0 z Z 2 y i Y q 3 + W z J X 1 8 2 k g B G N F A A A A P V / F 6 C a q p c 6 L r i X N 4 8 D x Y H 8 n H T I < / D a t a M a s h u p > 
</file>

<file path=customXml/itemProps1.xml><?xml version="1.0" encoding="utf-8"?>
<ds:datastoreItem xmlns:ds="http://schemas.openxmlformats.org/officeDocument/2006/customXml" ds:itemID="{4E4C53F2-BE2B-43A8-BD68-B989B58AB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4a7ff-ac0c-43ae-af92-5dd144f40fa2"/>
    <ds:schemaRef ds:uri="b007c6b8-87a0-4d8b-8ecf-e3ec3909a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84A81-F3BE-4914-BCB7-4C5354E9BE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07c6b8-87a0-4d8b-8ecf-e3ec3909a945"/>
    <ds:schemaRef ds:uri="http://purl.org/dc/elements/1.1/"/>
    <ds:schemaRef ds:uri="http://schemas.microsoft.com/office/2006/metadata/properties"/>
    <ds:schemaRef ds:uri="39c4a7ff-ac0c-43ae-af92-5dd144f40f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E5CCCF-4443-4D01-AE6B-9DD55BB9578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9F8E98-0BBE-4F27-9B76-EE6C2DD8B9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9 over12 Qtr Comp Calculator</vt:lpstr>
      <vt:lpstr>9 over 9 Qtr Comp Calculator</vt:lpstr>
      <vt:lpstr>Payroll Working Days</vt:lpstr>
      <vt:lpstr>Service Period Dropdown Info</vt:lpstr>
    </vt:vector>
  </TitlesOfParts>
  <Company>UCSD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Heather</dc:creator>
  <cp:lastModifiedBy>Zion, Heather</cp:lastModifiedBy>
  <cp:lastPrinted>2023-02-12T15:51:43Z</cp:lastPrinted>
  <dcterms:created xsi:type="dcterms:W3CDTF">2017-03-13T19:50:31Z</dcterms:created>
  <dcterms:modified xsi:type="dcterms:W3CDTF">2024-02-01T23:41:46Z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0x0101001C39BCF8C10C0F4DBE17E99B61C93E7A</vt:lpwstr>
  </property>
</Properties>
</file>