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https://ucsdcloud-my.sharepoint.com/personal/aps-share_ucsd_edu/Documents/APS Shared Files/Compensation/NSP/"/>
    </mc:Choice>
  </mc:AlternateContent>
  <xr:revisionPtr revIDLastSave="0" documentId="14_{ACDB832D-FB9A-498D-9E0F-24ADDC714689}" xr6:coauthVersionLast="47" xr6:coauthVersionMax="47" xr10:uidLastSave="{00000000-0000-0000-0000-000000000000}"/>
  <bookViews>
    <workbookView xWindow="28680" yWindow="-120" windowWidth="29040" windowHeight="17520" xr2:uid="{00000000-000D-0000-FFFF-FFFF00000000}"/>
  </bookViews>
  <sheets>
    <sheet name="Request" sheetId="2" r:id="rId1"/>
    <sheet name="Worksheet" sheetId="5" r:id="rId2"/>
    <sheet name="DropDown" sheetId="3" state="hidden" r:id="rId3"/>
    <sheet name="SalaryByMonthWorksheet" sheetId="8" r:id="rId4"/>
    <sheet name="CalculationTools" sheetId="6" r:id="rId5"/>
    <sheet name="Prelim-CostCalculation" sheetId="7" r:id="rId6"/>
  </sheets>
  <externalReferences>
    <externalReference r:id="rId7"/>
  </externalReferences>
  <definedNames>
    <definedName name="APU_Codes">[1]Lookups!$BF$2:$BF$102</definedName>
    <definedName name="Cap_Gap">[1]Lookups!$E$2:$E$21</definedName>
    <definedName name="Contract_Grant">[1]Lookups!$AD$10:$AD$21</definedName>
    <definedName name="Department_Clinical">[1]Lookups!$AD$22:$AD$44</definedName>
    <definedName name="DeptList">[1]Lookups!$M$2:$N$18</definedName>
    <definedName name="DeptNames">[1]Lookups!$M$2:$M$18</definedName>
    <definedName name="FTE">[1]Lookups!$AD$2:$AD$9</definedName>
    <definedName name="_xlnm.Print_Area" localSheetId="4">CalculationTools!$A$1:$B$54</definedName>
    <definedName name="_xlnm.Print_Area" localSheetId="1">Worksheet!$A$1:$Y$152</definedName>
    <definedName name="Rank">[1]Lookups!$AF$26:$AF$28</definedName>
    <definedName name="Series">[1]Lookups!$BB$2:$BB$6</definedName>
    <definedName name="Steps">[1]Lookups!$AX$2:$AZ$26</definedName>
    <definedName name="UHC_Specialty">[1]Lookups!$BJ$2:$BJ$119</definedName>
    <definedName name="VA_Rank">[1]Lookups!$BM$2:$BM$167</definedName>
    <definedName name="Z_Type">[1]Lookups!$BR$2:$BR$19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6" l="1"/>
  <c r="F29" i="6"/>
  <c r="G28" i="6"/>
  <c r="F28" i="6"/>
  <c r="G27" i="6"/>
  <c r="F27" i="6"/>
  <c r="G26" i="6"/>
  <c r="F26" i="6"/>
  <c r="G25" i="6"/>
  <c r="F25" i="6"/>
  <c r="G24" i="6"/>
  <c r="F24" i="6"/>
  <c r="G23" i="6"/>
  <c r="F23" i="6"/>
  <c r="G22" i="6"/>
  <c r="F22" i="6"/>
  <c r="G21" i="6"/>
  <c r="F21" i="6"/>
  <c r="F30" i="6"/>
  <c r="G30" i="6"/>
  <c r="B5" i="5"/>
  <c r="M5" i="5"/>
  <c r="B65" i="8" l="1"/>
  <c r="B67" i="8" s="1"/>
  <c r="O35" i="8"/>
  <c r="P35" i="8"/>
  <c r="Q35" i="8"/>
  <c r="R35" i="8"/>
  <c r="S35" i="8"/>
  <c r="T35" i="8"/>
  <c r="U35" i="8"/>
  <c r="V35" i="8"/>
  <c r="W35" i="8"/>
  <c r="X35" i="8"/>
  <c r="Y35" i="8"/>
  <c r="O36" i="8"/>
  <c r="P36" i="8"/>
  <c r="Q36" i="8"/>
  <c r="R36" i="8"/>
  <c r="S36" i="8"/>
  <c r="T36" i="8"/>
  <c r="U36" i="8"/>
  <c r="V36" i="8"/>
  <c r="W36" i="8"/>
  <c r="X36" i="8"/>
  <c r="Y36" i="8"/>
  <c r="O37" i="8"/>
  <c r="P37" i="8"/>
  <c r="Q37" i="8"/>
  <c r="R37" i="8"/>
  <c r="S37" i="8"/>
  <c r="T37" i="8"/>
  <c r="U37" i="8"/>
  <c r="V37" i="8"/>
  <c r="W37" i="8"/>
  <c r="X37" i="8"/>
  <c r="Y37" i="8"/>
  <c r="O38" i="8"/>
  <c r="P38" i="8"/>
  <c r="Q38" i="8"/>
  <c r="R38" i="8"/>
  <c r="S38" i="8"/>
  <c r="T38" i="8"/>
  <c r="U38" i="8"/>
  <c r="V38" i="8"/>
  <c r="W38" i="8"/>
  <c r="X38" i="8"/>
  <c r="Y38" i="8"/>
  <c r="O39" i="8"/>
  <c r="P39" i="8"/>
  <c r="Q39" i="8"/>
  <c r="R39" i="8"/>
  <c r="S39" i="8"/>
  <c r="T39" i="8"/>
  <c r="U39" i="8"/>
  <c r="V39" i="8"/>
  <c r="W39" i="8"/>
  <c r="X39" i="8"/>
  <c r="Y39" i="8"/>
  <c r="O40" i="8"/>
  <c r="P40" i="8"/>
  <c r="Q40" i="8"/>
  <c r="R40" i="8"/>
  <c r="S40" i="8"/>
  <c r="T40" i="8"/>
  <c r="U40" i="8"/>
  <c r="V40" i="8"/>
  <c r="W40" i="8"/>
  <c r="X40" i="8"/>
  <c r="Y40" i="8"/>
  <c r="O41" i="8"/>
  <c r="P41" i="8"/>
  <c r="Q41" i="8"/>
  <c r="R41" i="8"/>
  <c r="S41" i="8"/>
  <c r="T41" i="8"/>
  <c r="U41" i="8"/>
  <c r="V41" i="8"/>
  <c r="W41" i="8"/>
  <c r="X41" i="8"/>
  <c r="Y41" i="8"/>
  <c r="O42" i="8"/>
  <c r="P42" i="8"/>
  <c r="Q42" i="8"/>
  <c r="R42" i="8"/>
  <c r="S42" i="8"/>
  <c r="T42" i="8"/>
  <c r="U42" i="8"/>
  <c r="V42" i="8"/>
  <c r="W42" i="8"/>
  <c r="X42" i="8"/>
  <c r="Y42" i="8"/>
  <c r="O43" i="8"/>
  <c r="P43" i="8"/>
  <c r="Q43" i="8"/>
  <c r="R43" i="8"/>
  <c r="S43" i="8"/>
  <c r="T43" i="8"/>
  <c r="U43" i="8"/>
  <c r="V43" i="8"/>
  <c r="W43" i="8"/>
  <c r="X43" i="8"/>
  <c r="Y43" i="8"/>
  <c r="O44" i="8"/>
  <c r="P44" i="8"/>
  <c r="Q44" i="8"/>
  <c r="R44" i="8"/>
  <c r="S44" i="8"/>
  <c r="T44" i="8"/>
  <c r="U44" i="8"/>
  <c r="V44" i="8"/>
  <c r="W44" i="8"/>
  <c r="X44" i="8"/>
  <c r="Y44" i="8"/>
  <c r="O45" i="8"/>
  <c r="P45" i="8"/>
  <c r="Q45" i="8"/>
  <c r="R45" i="8"/>
  <c r="S45" i="8"/>
  <c r="T45" i="8"/>
  <c r="U45" i="8"/>
  <c r="V45" i="8"/>
  <c r="W45" i="8"/>
  <c r="X45" i="8"/>
  <c r="Y45" i="8"/>
  <c r="O46" i="8"/>
  <c r="P46" i="8"/>
  <c r="Q46" i="8"/>
  <c r="R46" i="8"/>
  <c r="S46" i="8"/>
  <c r="T46" i="8"/>
  <c r="U46" i="8"/>
  <c r="V46" i="8"/>
  <c r="W46" i="8"/>
  <c r="X46" i="8"/>
  <c r="Y46" i="8"/>
  <c r="O47" i="8"/>
  <c r="P47" i="8"/>
  <c r="Q47" i="8"/>
  <c r="R47" i="8"/>
  <c r="S47" i="8"/>
  <c r="T47" i="8"/>
  <c r="U47" i="8"/>
  <c r="V47" i="8"/>
  <c r="W47" i="8"/>
  <c r="X47" i="8"/>
  <c r="Y47" i="8"/>
  <c r="N35" i="8"/>
  <c r="N36" i="8"/>
  <c r="N37" i="8"/>
  <c r="N38" i="8"/>
  <c r="N39" i="8"/>
  <c r="N40" i="8"/>
  <c r="N41" i="8"/>
  <c r="N42" i="8"/>
  <c r="N43" i="8"/>
  <c r="N44" i="8"/>
  <c r="N45" i="8"/>
  <c r="N46" i="8"/>
  <c r="N47" i="8"/>
  <c r="O18" i="8"/>
  <c r="P18" i="8"/>
  <c r="Q18" i="8"/>
  <c r="R18" i="8"/>
  <c r="S18" i="8"/>
  <c r="T18" i="8"/>
  <c r="U18" i="8"/>
  <c r="V18" i="8"/>
  <c r="W18" i="8"/>
  <c r="X18" i="8"/>
  <c r="Y18" i="8"/>
  <c r="O19" i="8"/>
  <c r="P19" i="8"/>
  <c r="Q19" i="8"/>
  <c r="R19" i="8"/>
  <c r="S19" i="8"/>
  <c r="T19" i="8"/>
  <c r="U19" i="8"/>
  <c r="V19" i="8"/>
  <c r="W19" i="8"/>
  <c r="X19" i="8"/>
  <c r="Y19" i="8"/>
  <c r="O20" i="8"/>
  <c r="P20" i="8"/>
  <c r="Q20" i="8"/>
  <c r="R20" i="8"/>
  <c r="S20" i="8"/>
  <c r="T20" i="8"/>
  <c r="U20" i="8"/>
  <c r="V20" i="8"/>
  <c r="W20" i="8"/>
  <c r="X20" i="8"/>
  <c r="Y20" i="8"/>
  <c r="O21" i="8"/>
  <c r="P21" i="8"/>
  <c r="Q21" i="8"/>
  <c r="R21" i="8"/>
  <c r="S21" i="8"/>
  <c r="T21" i="8"/>
  <c r="U21" i="8"/>
  <c r="V21" i="8"/>
  <c r="W21" i="8"/>
  <c r="X21" i="8"/>
  <c r="Y21" i="8"/>
  <c r="O22" i="8"/>
  <c r="P22" i="8"/>
  <c r="Q22" i="8"/>
  <c r="R22" i="8"/>
  <c r="S22" i="8"/>
  <c r="T22" i="8"/>
  <c r="U22" i="8"/>
  <c r="V22" i="8"/>
  <c r="W22" i="8"/>
  <c r="X22" i="8"/>
  <c r="Y22" i="8"/>
  <c r="O23" i="8"/>
  <c r="P23" i="8"/>
  <c r="Q23" i="8"/>
  <c r="R23" i="8"/>
  <c r="S23" i="8"/>
  <c r="T23" i="8"/>
  <c r="U23" i="8"/>
  <c r="V23" i="8"/>
  <c r="W23" i="8"/>
  <c r="X23" i="8"/>
  <c r="Y23" i="8"/>
  <c r="O24" i="8"/>
  <c r="P24" i="8"/>
  <c r="Q24" i="8"/>
  <c r="R24" i="8"/>
  <c r="S24" i="8"/>
  <c r="T24" i="8"/>
  <c r="U24" i="8"/>
  <c r="V24" i="8"/>
  <c r="W24" i="8"/>
  <c r="X24" i="8"/>
  <c r="Y24" i="8"/>
  <c r="O25" i="8"/>
  <c r="P25" i="8"/>
  <c r="Q25" i="8"/>
  <c r="R25" i="8"/>
  <c r="S25" i="8"/>
  <c r="T25" i="8"/>
  <c r="U25" i="8"/>
  <c r="V25" i="8"/>
  <c r="W25" i="8"/>
  <c r="X25" i="8"/>
  <c r="Y25" i="8"/>
  <c r="O26" i="8"/>
  <c r="P26" i="8"/>
  <c r="Q26" i="8"/>
  <c r="R26" i="8"/>
  <c r="S26" i="8"/>
  <c r="T26" i="8"/>
  <c r="U26" i="8"/>
  <c r="V26" i="8"/>
  <c r="W26" i="8"/>
  <c r="X26" i="8"/>
  <c r="Y26" i="8"/>
  <c r="N18" i="8"/>
  <c r="N19" i="8"/>
  <c r="N20" i="8"/>
  <c r="N21" i="8"/>
  <c r="N22" i="8"/>
  <c r="N23" i="8"/>
  <c r="N24" i="8"/>
  <c r="N25" i="8"/>
  <c r="N26" i="8"/>
  <c r="T14" i="8" l="1"/>
  <c r="U14" i="8"/>
  <c r="V14" i="8"/>
  <c r="W14" i="8"/>
  <c r="X14" i="8"/>
  <c r="Y14" i="8"/>
  <c r="O15" i="8"/>
  <c r="P15" i="8"/>
  <c r="Q15" i="8"/>
  <c r="R15" i="8"/>
  <c r="S15" i="8"/>
  <c r="N15" i="8"/>
  <c r="F6" i="8" l="1"/>
  <c r="T33" i="8" l="1"/>
  <c r="P16" i="8"/>
  <c r="X16" i="8"/>
  <c r="U16" i="8"/>
  <c r="W16" i="8"/>
  <c r="U33" i="8"/>
  <c r="Q16" i="8"/>
  <c r="Y16" i="8"/>
  <c r="S16" i="8"/>
  <c r="N33" i="8"/>
  <c r="V33" i="8"/>
  <c r="R16" i="8"/>
  <c r="N16" i="8"/>
  <c r="V16" i="8"/>
  <c r="O16" i="8"/>
  <c r="O33" i="8"/>
  <c r="W33" i="8"/>
  <c r="Y33" i="8"/>
  <c r="P33" i="8"/>
  <c r="X33" i="8"/>
  <c r="T16" i="8"/>
  <c r="S33" i="8"/>
  <c r="Q33" i="8"/>
  <c r="R33" i="8"/>
  <c r="F8" i="7"/>
  <c r="F7" i="7"/>
  <c r="C17" i="7" l="1"/>
  <c r="C16" i="7"/>
  <c r="B23" i="7" s="1"/>
  <c r="B26" i="7" s="1"/>
  <c r="C6" i="7"/>
  <c r="B25" i="6"/>
  <c r="B24" i="6"/>
  <c r="H9" i="6"/>
  <c r="H11" i="6" s="1"/>
  <c r="Y27" i="8"/>
  <c r="Z18" i="8"/>
  <c r="F7" i="8"/>
  <c r="B3" i="8"/>
  <c r="L131" i="5"/>
  <c r="Q131" i="5" s="1"/>
  <c r="V131" i="5" s="1"/>
  <c r="L130" i="5"/>
  <c r="Q130" i="5" s="1"/>
  <c r="V130" i="5" s="1"/>
  <c r="L129" i="5"/>
  <c r="Q129" i="5" s="1"/>
  <c r="V129" i="5" s="1"/>
  <c r="L128" i="5"/>
  <c r="Q128" i="5" s="1"/>
  <c r="V128" i="5" s="1"/>
  <c r="L127" i="5"/>
  <c r="Q127" i="5" s="1"/>
  <c r="V127" i="5" s="1"/>
  <c r="L126" i="5"/>
  <c r="Q126" i="5" s="1"/>
  <c r="V126" i="5" s="1"/>
  <c r="L125" i="5"/>
  <c r="Q125" i="5" s="1"/>
  <c r="X125" i="5" s="1"/>
  <c r="N113" i="5"/>
  <c r="L113" i="5"/>
  <c r="R113" i="5" s="1"/>
  <c r="S113" i="5" s="1"/>
  <c r="N112" i="5"/>
  <c r="L112" i="5"/>
  <c r="N111" i="5"/>
  <c r="L111" i="5"/>
  <c r="N110" i="5"/>
  <c r="L110" i="5"/>
  <c r="R110" i="5" s="1"/>
  <c r="S110" i="5" s="1"/>
  <c r="N109" i="5"/>
  <c r="L109" i="5"/>
  <c r="R109" i="5" s="1"/>
  <c r="S109" i="5" s="1"/>
  <c r="N108" i="5"/>
  <c r="L108" i="5"/>
  <c r="N107" i="5"/>
  <c r="L107" i="5"/>
  <c r="N106" i="5"/>
  <c r="L106" i="5"/>
  <c r="R106" i="5" s="1"/>
  <c r="S106" i="5" s="1"/>
  <c r="N105" i="5"/>
  <c r="L105" i="5"/>
  <c r="R105" i="5" s="1"/>
  <c r="S105" i="5" s="1"/>
  <c r="N104" i="5"/>
  <c r="L104" i="5"/>
  <c r="N103" i="5"/>
  <c r="L103" i="5"/>
  <c r="N102" i="5"/>
  <c r="L102" i="5"/>
  <c r="R102" i="5" s="1"/>
  <c r="S102" i="5" s="1"/>
  <c r="N101" i="5"/>
  <c r="L101" i="5"/>
  <c r="R101" i="5" s="1"/>
  <c r="N83" i="5"/>
  <c r="L83" i="5"/>
  <c r="R83" i="5" s="1"/>
  <c r="S83" i="5" s="1"/>
  <c r="N82" i="5"/>
  <c r="L82" i="5"/>
  <c r="N81" i="5"/>
  <c r="L81" i="5"/>
  <c r="R81" i="5" s="1"/>
  <c r="S81" i="5" s="1"/>
  <c r="AF80" i="5"/>
  <c r="N80" i="5"/>
  <c r="L80" i="5"/>
  <c r="R80" i="5" s="1"/>
  <c r="S80" i="5" s="1"/>
  <c r="N79" i="5"/>
  <c r="L79" i="5"/>
  <c r="R79" i="5" s="1"/>
  <c r="S79" i="5" s="1"/>
  <c r="N78" i="5"/>
  <c r="L78" i="5"/>
  <c r="AF77" i="5"/>
  <c r="AF79" i="5" s="1"/>
  <c r="N77" i="5"/>
  <c r="L77" i="5"/>
  <c r="N76" i="5"/>
  <c r="L76" i="5"/>
  <c r="R76" i="5" s="1"/>
  <c r="S76" i="5" s="1"/>
  <c r="N75" i="5"/>
  <c r="L75" i="5"/>
  <c r="R75" i="5" s="1"/>
  <c r="S75" i="5" s="1"/>
  <c r="N74" i="5"/>
  <c r="L74" i="5"/>
  <c r="R74" i="5" s="1"/>
  <c r="S74" i="5" s="1"/>
  <c r="N73" i="5"/>
  <c r="L73" i="5"/>
  <c r="N72" i="5"/>
  <c r="L72" i="5"/>
  <c r="N71" i="5"/>
  <c r="L71" i="5"/>
  <c r="R71" i="5" s="1"/>
  <c r="S71" i="5" s="1"/>
  <c r="N70" i="5"/>
  <c r="L70" i="5"/>
  <c r="R70" i="5" s="1"/>
  <c r="AE67" i="5"/>
  <c r="AD67" i="5"/>
  <c r="AE66" i="5"/>
  <c r="AD66" i="5"/>
  <c r="AE65" i="5"/>
  <c r="AD65" i="5"/>
  <c r="AE64" i="5"/>
  <c r="AD64" i="5"/>
  <c r="AE63" i="5"/>
  <c r="AD63" i="5"/>
  <c r="AE62" i="5"/>
  <c r="AD62" i="5"/>
  <c r="AE61" i="5"/>
  <c r="AD61" i="5"/>
  <c r="AE60" i="5"/>
  <c r="AD60" i="5"/>
  <c r="AE59" i="5"/>
  <c r="AD59" i="5"/>
  <c r="AE58" i="5"/>
  <c r="AD58" i="5"/>
  <c r="N52" i="5"/>
  <c r="L52" i="5"/>
  <c r="AG51" i="5"/>
  <c r="N51" i="5"/>
  <c r="L51" i="5"/>
  <c r="AG50" i="5"/>
  <c r="N50" i="5"/>
  <c r="L50" i="5"/>
  <c r="N49" i="5"/>
  <c r="L49" i="5"/>
  <c r="N48" i="5"/>
  <c r="L48" i="5"/>
  <c r="R48" i="5" s="1"/>
  <c r="S48" i="5" s="1"/>
  <c r="N47" i="5"/>
  <c r="L47" i="5"/>
  <c r="R47" i="5" s="1"/>
  <c r="S47" i="5" s="1"/>
  <c r="N46" i="5"/>
  <c r="L46" i="5"/>
  <c r="R46" i="5" s="1"/>
  <c r="N35" i="5"/>
  <c r="L35" i="5"/>
  <c r="R35" i="5" s="1"/>
  <c r="S35" i="5" s="1"/>
  <c r="AF34" i="5"/>
  <c r="AF36" i="5" s="1"/>
  <c r="N34" i="5"/>
  <c r="L34" i="5"/>
  <c r="R34" i="5" s="1"/>
  <c r="S34" i="5" s="1"/>
  <c r="N33" i="5"/>
  <c r="L33" i="5"/>
  <c r="R33" i="5" s="1"/>
  <c r="S33" i="5" s="1"/>
  <c r="N32" i="5"/>
  <c r="L32" i="5"/>
  <c r="N31" i="5"/>
  <c r="L31" i="5"/>
  <c r="R31" i="5" s="1"/>
  <c r="S31" i="5" s="1"/>
  <c r="N30" i="5"/>
  <c r="L30" i="5"/>
  <c r="R30" i="5" s="1"/>
  <c r="P12" i="5"/>
  <c r="P14" i="5" s="1"/>
  <c r="N12" i="5"/>
  <c r="K12" i="5"/>
  <c r="Q85" i="5" s="1"/>
  <c r="H12" i="5"/>
  <c r="G12" i="5"/>
  <c r="F12" i="5"/>
  <c r="E12" i="5"/>
  <c r="D12" i="5"/>
  <c r="B12" i="5"/>
  <c r="M7" i="5"/>
  <c r="B7" i="5"/>
  <c r="I13" i="2"/>
  <c r="O10" i="2"/>
  <c r="L10" i="2"/>
  <c r="C11" i="7" s="1"/>
  <c r="C19" i="7" s="1"/>
  <c r="Q71" i="5" l="1"/>
  <c r="V71" i="5" s="1"/>
  <c r="Q82" i="5"/>
  <c r="Q31" i="5"/>
  <c r="V31" i="5" s="1"/>
  <c r="Q10" i="2"/>
  <c r="N10" i="2"/>
  <c r="B4" i="8" s="1"/>
  <c r="B7" i="8" s="1"/>
  <c r="M13" i="2"/>
  <c r="Q32" i="5"/>
  <c r="X32" i="5" s="1"/>
  <c r="Q35" i="5"/>
  <c r="X35" i="5" s="1"/>
  <c r="Q49" i="5"/>
  <c r="X49" i="5" s="1"/>
  <c r="Q30" i="5"/>
  <c r="V30" i="5" s="1"/>
  <c r="Q72" i="5"/>
  <c r="Q76" i="5"/>
  <c r="X76" i="5" s="1"/>
  <c r="Q81" i="5"/>
  <c r="X81" i="5" s="1"/>
  <c r="Q102" i="5"/>
  <c r="V102" i="5" s="1"/>
  <c r="Q110" i="5"/>
  <c r="V110" i="5" s="1"/>
  <c r="R82" i="5"/>
  <c r="S82" i="5" s="1"/>
  <c r="Q103" i="5"/>
  <c r="V103" i="5" s="1"/>
  <c r="Q107" i="5"/>
  <c r="V107" i="5" s="1"/>
  <c r="Q111" i="5"/>
  <c r="X111" i="5" s="1"/>
  <c r="V82" i="5"/>
  <c r="X82" i="5"/>
  <c r="Q74" i="5"/>
  <c r="Q105" i="5"/>
  <c r="Q113" i="5"/>
  <c r="Z20" i="8"/>
  <c r="J13" i="2"/>
  <c r="Q47" i="5"/>
  <c r="X47" i="5" s="1"/>
  <c r="Q79" i="5"/>
  <c r="X79" i="5" s="1"/>
  <c r="Q83" i="5"/>
  <c r="V83" i="5" s="1"/>
  <c r="R107" i="5"/>
  <c r="S107" i="5" s="1"/>
  <c r="X129" i="5"/>
  <c r="Z21" i="8"/>
  <c r="C8" i="7"/>
  <c r="Q70" i="5"/>
  <c r="V70" i="5" s="1"/>
  <c r="R72" i="5"/>
  <c r="S72" i="5" s="1"/>
  <c r="R103" i="5"/>
  <c r="S103" i="5" s="1"/>
  <c r="Q106" i="5"/>
  <c r="R111" i="5"/>
  <c r="S111" i="5" s="1"/>
  <c r="X131" i="5"/>
  <c r="Z16" i="8"/>
  <c r="J12" i="5"/>
  <c r="J14" i="5" s="1"/>
  <c r="Q75" i="5"/>
  <c r="Q80" i="5"/>
  <c r="Q101" i="5"/>
  <c r="X101" i="5" s="1"/>
  <c r="Q109" i="5"/>
  <c r="X109" i="5" s="1"/>
  <c r="Z19" i="8"/>
  <c r="Q34" i="5"/>
  <c r="V34" i="5" s="1"/>
  <c r="X127" i="5"/>
  <c r="Z41" i="8"/>
  <c r="Z45" i="8"/>
  <c r="S101" i="5"/>
  <c r="V111" i="5"/>
  <c r="Z26" i="8"/>
  <c r="Q77" i="5"/>
  <c r="R77" i="5"/>
  <c r="S77" i="5" s="1"/>
  <c r="Q78" i="5"/>
  <c r="R78" i="5"/>
  <c r="S78" i="5" s="1"/>
  <c r="Q108" i="5"/>
  <c r="R108" i="5"/>
  <c r="S108" i="5" s="1"/>
  <c r="Q133" i="5"/>
  <c r="B6" i="8"/>
  <c r="S49" i="8" s="1"/>
  <c r="X103" i="5"/>
  <c r="Q50" i="5"/>
  <c r="R50" i="5"/>
  <c r="S50" i="5" s="1"/>
  <c r="K14" i="5"/>
  <c r="R32" i="5"/>
  <c r="S32" i="5" s="1"/>
  <c r="Q46" i="5"/>
  <c r="Q48" i="5"/>
  <c r="Q51" i="5"/>
  <c r="R51" i="5"/>
  <c r="S51" i="5" s="1"/>
  <c r="Q73" i="5"/>
  <c r="R73" i="5"/>
  <c r="S73" i="5" s="1"/>
  <c r="X126" i="5"/>
  <c r="X128" i="5"/>
  <c r="X130" i="5"/>
  <c r="S10" i="2"/>
  <c r="S30" i="5"/>
  <c r="X31" i="5"/>
  <c r="Q33" i="5"/>
  <c r="S46" i="5"/>
  <c r="R49" i="5"/>
  <c r="S49" i="5" s="1"/>
  <c r="Q52" i="5"/>
  <c r="R52" i="5"/>
  <c r="S52" i="5" s="1"/>
  <c r="V72" i="5"/>
  <c r="X72" i="5"/>
  <c r="Q104" i="5"/>
  <c r="R104" i="5"/>
  <c r="S104" i="5" s="1"/>
  <c r="Q112" i="5"/>
  <c r="R112" i="5"/>
  <c r="S112" i="5" s="1"/>
  <c r="Q132" i="5"/>
  <c r="V125" i="5"/>
  <c r="V132" i="5" s="1"/>
  <c r="S70" i="5"/>
  <c r="B5" i="8"/>
  <c r="P29" i="8" s="1"/>
  <c r="Z24" i="8"/>
  <c r="Z40" i="8"/>
  <c r="Z44" i="8"/>
  <c r="Z22" i="8"/>
  <c r="Z25" i="8"/>
  <c r="Z33" i="8"/>
  <c r="Z35" i="8"/>
  <c r="Z36" i="8"/>
  <c r="Z37" i="8"/>
  <c r="Z38" i="8"/>
  <c r="Z42" i="8"/>
  <c r="Z46" i="8"/>
  <c r="Z23" i="8"/>
  <c r="Z39" i="8"/>
  <c r="Z43" i="8"/>
  <c r="B24" i="7"/>
  <c r="B27" i="7" s="1"/>
  <c r="B25" i="7"/>
  <c r="B28" i="7" s="1"/>
  <c r="Z27" i="8"/>
  <c r="O12" i="5"/>
  <c r="G17" i="5"/>
  <c r="Q37" i="5"/>
  <c r="V76" i="5" l="1"/>
  <c r="V49" i="8"/>
  <c r="X70" i="5"/>
  <c r="X71" i="5"/>
  <c r="V81" i="5"/>
  <c r="X83" i="5"/>
  <c r="R36" i="5"/>
  <c r="V32" i="5"/>
  <c r="X110" i="5"/>
  <c r="V49" i="5"/>
  <c r="X30" i="5"/>
  <c r="V35" i="5"/>
  <c r="G19" i="5"/>
  <c r="M17" i="5"/>
  <c r="AF13" i="5"/>
  <c r="L12" i="5"/>
  <c r="Q17" i="5" s="1"/>
  <c r="Q18" i="5" s="1"/>
  <c r="X107" i="5"/>
  <c r="Q115" i="5"/>
  <c r="V79" i="5"/>
  <c r="W29" i="8"/>
  <c r="T29" i="8"/>
  <c r="V47" i="5"/>
  <c r="N14" i="8"/>
  <c r="O32" i="8"/>
  <c r="W32" i="8"/>
  <c r="N32" i="8"/>
  <c r="V15" i="8"/>
  <c r="V32" i="8"/>
  <c r="P32" i="8"/>
  <c r="X32" i="8"/>
  <c r="O14" i="8"/>
  <c r="T15" i="8"/>
  <c r="Q32" i="8"/>
  <c r="Y32" i="8"/>
  <c r="P14" i="8"/>
  <c r="U15" i="8"/>
  <c r="X15" i="8"/>
  <c r="R32" i="8"/>
  <c r="Q14" i="8"/>
  <c r="S32" i="8"/>
  <c r="R14" i="8"/>
  <c r="W15" i="8"/>
  <c r="S14" i="8"/>
  <c r="T32" i="8"/>
  <c r="Y15" i="8"/>
  <c r="U32" i="8"/>
  <c r="U29" i="8"/>
  <c r="B8" i="8"/>
  <c r="F9" i="8" s="1"/>
  <c r="X102" i="5"/>
  <c r="V109" i="5"/>
  <c r="O29" i="8"/>
  <c r="S29" i="8"/>
  <c r="V101" i="5"/>
  <c r="V106" i="5"/>
  <c r="X106" i="5"/>
  <c r="X113" i="5"/>
  <c r="V113" i="5"/>
  <c r="X80" i="5"/>
  <c r="V80" i="5"/>
  <c r="X74" i="5"/>
  <c r="V74" i="5"/>
  <c r="X105" i="5"/>
  <c r="V105" i="5"/>
  <c r="X29" i="8"/>
  <c r="X34" i="5"/>
  <c r="V75" i="5"/>
  <c r="X75" i="5"/>
  <c r="X132" i="5"/>
  <c r="Q29" i="8"/>
  <c r="W49" i="8"/>
  <c r="Y49" i="8"/>
  <c r="Q49" i="8"/>
  <c r="X49" i="8"/>
  <c r="P49" i="8"/>
  <c r="T49" i="8"/>
  <c r="B9" i="8"/>
  <c r="U49" i="8"/>
  <c r="R114" i="5"/>
  <c r="Q119" i="5" s="1"/>
  <c r="O49" i="8"/>
  <c r="R49" i="8"/>
  <c r="Y29" i="8"/>
  <c r="R29" i="8"/>
  <c r="N29" i="8"/>
  <c r="V29" i="8"/>
  <c r="Z29" i="8"/>
  <c r="X104" i="5"/>
  <c r="V104" i="5"/>
  <c r="S36" i="5"/>
  <c r="X51" i="5"/>
  <c r="V51" i="5"/>
  <c r="Q134" i="5"/>
  <c r="Q114" i="5"/>
  <c r="X77" i="5"/>
  <c r="V77" i="5"/>
  <c r="Q53" i="5"/>
  <c r="V46" i="5"/>
  <c r="X46" i="5" s="1"/>
  <c r="N49" i="8"/>
  <c r="S84" i="5"/>
  <c r="X112" i="5"/>
  <c r="V112" i="5"/>
  <c r="R84" i="5"/>
  <c r="S53" i="5"/>
  <c r="X73" i="5"/>
  <c r="V73" i="5"/>
  <c r="V48" i="5"/>
  <c r="X48" i="5"/>
  <c r="X50" i="5"/>
  <c r="V50" i="5"/>
  <c r="Q84" i="5"/>
  <c r="Q86" i="5" s="1"/>
  <c r="R53" i="5"/>
  <c r="X52" i="5"/>
  <c r="V52" i="5"/>
  <c r="X33" i="5"/>
  <c r="V33" i="5"/>
  <c r="X108" i="5"/>
  <c r="V108" i="5"/>
  <c r="X78" i="5"/>
  <c r="V78" i="5"/>
  <c r="S114" i="5"/>
  <c r="Q36" i="5"/>
  <c r="B29" i="7"/>
  <c r="B33" i="7"/>
  <c r="F8" i="8"/>
  <c r="Q54" i="5"/>
  <c r="AF14" i="5"/>
  <c r="Q116" i="5"/>
  <c r="Q38" i="5"/>
  <c r="AF15" i="5" l="1"/>
  <c r="V36" i="5"/>
  <c r="O14" i="5"/>
  <c r="Q12" i="5"/>
  <c r="L14" i="5"/>
  <c r="X36" i="5"/>
  <c r="Z32" i="8"/>
  <c r="V114" i="5"/>
  <c r="R91" i="5"/>
  <c r="Q91" i="5" s="1"/>
  <c r="Z15" i="8"/>
  <c r="O34" i="8"/>
  <c r="O48" i="8" s="1"/>
  <c r="O50" i="8" s="1"/>
  <c r="W34" i="8"/>
  <c r="W48" i="8" s="1"/>
  <c r="W50" i="8" s="1"/>
  <c r="P17" i="8"/>
  <c r="X17" i="8"/>
  <c r="P34" i="8"/>
  <c r="P48" i="8" s="1"/>
  <c r="P50" i="8" s="1"/>
  <c r="X34" i="8"/>
  <c r="X48" i="8" s="1"/>
  <c r="X50" i="8" s="1"/>
  <c r="Q17" i="8"/>
  <c r="Y17" i="8"/>
  <c r="Q34" i="8"/>
  <c r="Q48" i="8" s="1"/>
  <c r="Q50" i="8" s="1"/>
  <c r="Y34" i="8"/>
  <c r="Y48" i="8" s="1"/>
  <c r="Y50" i="8" s="1"/>
  <c r="R17" i="8"/>
  <c r="O17" i="8"/>
  <c r="O56" i="8" s="1" a="1"/>
  <c r="O56" i="8" s="1"/>
  <c r="R34" i="8"/>
  <c r="R48" i="8" s="1"/>
  <c r="R50" i="8" s="1"/>
  <c r="S17" i="8"/>
  <c r="W17" i="8"/>
  <c r="S34" i="8"/>
  <c r="S48" i="8" s="1"/>
  <c r="S50" i="8" s="1"/>
  <c r="T17" i="8"/>
  <c r="T34" i="8"/>
  <c r="T48" i="8" s="1"/>
  <c r="T50" i="8" s="1"/>
  <c r="U17" i="8"/>
  <c r="U34" i="8"/>
  <c r="U48" i="8" s="1"/>
  <c r="U50" i="8" s="1"/>
  <c r="V17" i="8"/>
  <c r="V34" i="8"/>
  <c r="V48" i="8" s="1"/>
  <c r="V50" i="8" s="1"/>
  <c r="N17" i="8"/>
  <c r="N34" i="8"/>
  <c r="N48" i="8" s="1"/>
  <c r="N50" i="8" s="1"/>
  <c r="X84" i="5"/>
  <c r="X53" i="5"/>
  <c r="V84" i="5"/>
  <c r="Q117" i="5"/>
  <c r="X114" i="5"/>
  <c r="Q142" i="5"/>
  <c r="B12" i="6"/>
  <c r="B14" i="6" s="1"/>
  <c r="B39" i="6"/>
  <c r="B36" i="6"/>
  <c r="B38" i="6" s="1"/>
  <c r="Q137" i="5"/>
  <c r="Q138" i="5" s="1"/>
  <c r="Q141" i="5"/>
  <c r="Q88" i="5"/>
  <c r="Q89" i="5" s="1"/>
  <c r="AF16" i="5"/>
  <c r="AF17" i="5" s="1"/>
  <c r="Q58" i="5"/>
  <c r="Q59" i="5" s="1"/>
  <c r="Q55" i="5"/>
  <c r="Q56" i="5" s="1"/>
  <c r="Q61" i="5"/>
  <c r="Z49" i="8"/>
  <c r="V53" i="5"/>
  <c r="S91" i="5"/>
  <c r="B30" i="7"/>
  <c r="B31" i="7" s="1"/>
  <c r="R56" i="8" l="1" a="1"/>
  <c r="R56" i="8" s="1"/>
  <c r="P56" i="8" a="1"/>
  <c r="P56" i="8" s="1"/>
  <c r="T56" i="8" a="1"/>
  <c r="T56" i="8" s="1"/>
  <c r="Q145" i="5"/>
  <c r="Y56" i="8" a="1"/>
  <c r="Y56" i="8" s="1"/>
  <c r="W56" i="8" a="1"/>
  <c r="W56" i="8" s="1"/>
  <c r="X56" i="8" a="1"/>
  <c r="X56" i="8" s="1"/>
  <c r="Q56" i="8" a="1"/>
  <c r="Q56" i="8" s="1"/>
  <c r="V137" i="5"/>
  <c r="S56" i="8" a="1"/>
  <c r="S56" i="8" s="1"/>
  <c r="X137" i="5"/>
  <c r="V56" i="8" a="1"/>
  <c r="V56" i="8" s="1"/>
  <c r="O28" i="8"/>
  <c r="O53" i="8" s="1"/>
  <c r="O54" i="8" s="1"/>
  <c r="U56" i="8" a="1"/>
  <c r="U56" i="8" s="1"/>
  <c r="Q28" i="8"/>
  <c r="Q30" i="8" s="1"/>
  <c r="P28" i="8"/>
  <c r="Z34" i="8"/>
  <c r="Z48" i="8" s="1"/>
  <c r="Z50" i="8" s="1"/>
  <c r="Z17" i="8"/>
  <c r="N56" i="8" a="1"/>
  <c r="N56" i="8" s="1"/>
  <c r="Q146" i="5"/>
  <c r="X28" i="8"/>
  <c r="V28" i="8"/>
  <c r="S28" i="8"/>
  <c r="U28" i="8"/>
  <c r="T28" i="8"/>
  <c r="N28" i="8"/>
  <c r="Z14" i="8"/>
  <c r="R28" i="8"/>
  <c r="W28" i="8"/>
  <c r="Y28" i="8"/>
  <c r="Z28" i="8" l="1"/>
  <c r="Z30" i="8" s="1"/>
  <c r="O30" i="8"/>
  <c r="Q53" i="8"/>
  <c r="Q54" i="8" s="1"/>
  <c r="P53" i="8"/>
  <c r="P54" i="8" s="1"/>
  <c r="P30" i="8"/>
  <c r="T30" i="8"/>
  <c r="T53" i="8"/>
  <c r="T54" i="8" s="1"/>
  <c r="S30" i="8"/>
  <c r="S53" i="8"/>
  <c r="S54" i="8" s="1"/>
  <c r="W30" i="8"/>
  <c r="W53" i="8"/>
  <c r="W54" i="8" s="1"/>
  <c r="U30" i="8"/>
  <c r="U53" i="8"/>
  <c r="U54" i="8" s="1"/>
  <c r="Y30" i="8"/>
  <c r="Y53" i="8"/>
  <c r="Y54" i="8" s="1"/>
  <c r="V30" i="8"/>
  <c r="V53" i="8"/>
  <c r="V54" i="8" s="1"/>
  <c r="X30" i="8"/>
  <c r="X53" i="8"/>
  <c r="X54" i="8" s="1"/>
  <c r="R30" i="8"/>
  <c r="R53" i="8"/>
  <c r="R54" i="8" s="1"/>
  <c r="N30" i="8"/>
  <c r="N53" i="8"/>
  <c r="Z53" i="8" l="1"/>
  <c r="N54" i="8"/>
  <c r="Z54"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sdesadmin</author>
  </authors>
  <commentList>
    <comment ref="T14" authorId="0" shapeId="0" xr:uid="{00000000-0006-0000-0100-000001000000}">
      <text>
        <r>
          <rPr>
            <b/>
            <sz val="9"/>
            <color indexed="81"/>
            <rFont val="Tahoma"/>
            <family val="2"/>
          </rPr>
          <t>sdesadmin:</t>
        </r>
        <r>
          <rPr>
            <sz val="9"/>
            <color indexed="81"/>
            <rFont val="Tahoma"/>
            <family val="2"/>
          </rPr>
          <t xml:space="preserve">
https://blink.ucsd.edu/finance/costing-analysis/cbrs/index.html#How-to-Apply-CBRs-&amp;-Campus-Plan</t>
        </r>
      </text>
    </comment>
  </commentList>
</comments>
</file>

<file path=xl/sharedStrings.xml><?xml version="1.0" encoding="utf-8"?>
<sst xmlns="http://schemas.openxmlformats.org/spreadsheetml/2006/main" count="430" uniqueCount="261">
  <si>
    <t>Fiscal Year:</t>
  </si>
  <si>
    <t>Compensation Proposal</t>
  </si>
  <si>
    <t>Empl ID:</t>
  </si>
  <si>
    <t>Department:</t>
  </si>
  <si>
    <t>Name:</t>
  </si>
  <si>
    <t>Rank (Title)</t>
  </si>
  <si>
    <t>Step</t>
  </si>
  <si>
    <t>OS</t>
  </si>
  <si>
    <t>Scale Rate (annual)</t>
  </si>
  <si>
    <t>Covered Compensation Rate</t>
  </si>
  <si>
    <t>Negotiated Salary  Increment</t>
  </si>
  <si>
    <t>Total UC Salary Rate</t>
  </si>
  <si>
    <t>% Time</t>
  </si>
  <si>
    <t>Summer Salary        (Max 3/9ths)</t>
  </si>
  <si>
    <t>Administrative Stipend (Addt'l Covered Comp)</t>
  </si>
  <si>
    <t xml:space="preserve">Total UC Compensation </t>
  </si>
  <si>
    <t>Proposed:</t>
  </si>
  <si>
    <t>Contingency Fund Obligation:</t>
  </si>
  <si>
    <t>Title</t>
  </si>
  <si>
    <t xml:space="preserve"> </t>
  </si>
  <si>
    <t>% Effort</t>
  </si>
  <si>
    <t>FACULTY SALARY WORKSHEET</t>
  </si>
  <si>
    <t>Summer Salary
(Max 3/9ths)</t>
  </si>
  <si>
    <t>Admin Stipend (Addt'l Covered Comp)</t>
  </si>
  <si>
    <t>BUDGETED SALARY COMPARED TO PROPOSED SALARY</t>
  </si>
  <si>
    <t>Monthly Rates:</t>
  </si>
  <si>
    <t>available for salary:</t>
  </si>
  <si>
    <t xml:space="preserve">Percent Participation:  </t>
  </si>
  <si>
    <t>Covered Comp % monthly</t>
  </si>
  <si>
    <t>under/(over) budget:</t>
  </si>
  <si>
    <t>Negotiated Comp % monthly</t>
  </si>
  <si>
    <t>Summer Salary</t>
  </si>
  <si>
    <t>Covered Compensation - FTE Fund Sources</t>
  </si>
  <si>
    <t>Stipend</t>
  </si>
  <si>
    <t>Use this section to record salary paid from the faculty member's regular FTE.    Fund sources are 99100A.   The maximum annual salary for this section will be the covered compensation rate (the scale rate plus off-scale amount), less funds set aside for the contingency funds and less any funds used in for FSEP.   The minimum annual salary for this section is 50% of covered compensation rate.</t>
  </si>
  <si>
    <t>FUND</t>
  </si>
  <si>
    <t>FUND TYPE</t>
  </si>
  <si>
    <t>START</t>
  </si>
  <si>
    <t>END</t>
  </si>
  <si>
    <t>MO</t>
  </si>
  <si>
    <t>% TIME</t>
  </si>
  <si>
    <t>RATE</t>
  </si>
  <si>
    <t>SALARY</t>
  </si>
  <si>
    <t>% EFFORT</t>
  </si>
  <si>
    <t>NOTES</t>
  </si>
  <si>
    <t>BENEFITS (EST.)</t>
  </si>
  <si>
    <t>TOTAL COST</t>
  </si>
  <si>
    <t>PERCENT TIME - CALCULATION TOOL</t>
  </si>
  <si>
    <t>Calculating Percent Time Using Targeted Salary Amount</t>
  </si>
  <si>
    <t>ENTER: Total Salary to Pay</t>
  </si>
  <si>
    <t>ENTER: Number of Months</t>
  </si>
  <si>
    <t>ENTER: Pay Rate</t>
  </si>
  <si>
    <t>Percent Time (calculation)</t>
  </si>
  <si>
    <t>Salary Check:</t>
  </si>
  <si>
    <t>FTE Fund Source Minimum:</t>
  </si>
  <si>
    <t>FTE Fund Source Target (excl. FSEP):</t>
  </si>
  <si>
    <t>Covered Compensation - Other Fund Sources</t>
  </si>
  <si>
    <t>Use this section to record salary that is part of covered compensation, but is not coming from regular FTE fund sources.      This is to make up for the salary from FTE fund sources that was set aside for the contingency fund and for FSEP.   It may also be used to record sabbatical leave supplement funding.</t>
  </si>
  <si>
    <t>CAP RATE</t>
  </si>
  <si>
    <t>CAP GAP</t>
  </si>
  <si>
    <t>SALARY CAP CALCULATION TOOL</t>
  </si>
  <si>
    <t>Calculating Salary Cap Monthly Rate</t>
  </si>
  <si>
    <t>ENTER: Annual Salary Cap Amount</t>
  </si>
  <si>
    <t>Monthly Rate for 9-month salary paid over 12 months</t>
  </si>
  <si>
    <t>Monthly Rate for 9-month salary paid over 9 months</t>
  </si>
  <si>
    <t>Minimum Amount:</t>
  </si>
  <si>
    <t>Target Amount:</t>
  </si>
  <si>
    <t>NIH Salary Cap -- Annual and Monthly Rates</t>
  </si>
  <si>
    <t>Over (Under) Target:</t>
  </si>
  <si>
    <t>Covered Compensation - All Fund Sources:</t>
  </si>
  <si>
    <t>Annual</t>
  </si>
  <si>
    <t>9/12 Rate</t>
  </si>
  <si>
    <t>9/9 Rate</t>
  </si>
  <si>
    <t>Difference from actual covered compensation:</t>
  </si>
  <si>
    <t>% Covered Compensation:</t>
  </si>
  <si>
    <t>SALARY CAP GAP CALCULATION TOOL</t>
  </si>
  <si>
    <t>Calculating the monthly amount for the cap gap</t>
  </si>
  <si>
    <t>ENTER: Monthly Pay Rate</t>
  </si>
  <si>
    <t>ENTER: Monthly Salary Cap Rate</t>
  </si>
  <si>
    <t>ENTER: Percent Time</t>
  </si>
  <si>
    <t>Monthly Cap Gap Amount (calculation)</t>
  </si>
  <si>
    <t>Salary Check (Cap + Cap Gap) - Monthly</t>
  </si>
  <si>
    <t>Salary at Regular Monthly Rate</t>
  </si>
  <si>
    <t>Maximum:</t>
  </si>
  <si>
    <t>Difference from proposed salary increment:</t>
  </si>
  <si>
    <t>Calculated Salary-- All Fund Sources:</t>
  </si>
  <si>
    <t>Difference from UC Salary proposed:</t>
  </si>
  <si>
    <t>% Time (9 mo)</t>
  </si>
  <si>
    <t>Total Percent Time Paid:</t>
  </si>
  <si>
    <t>Use this section to record summer salary from all fund sources.</t>
  </si>
  <si>
    <t>NOTE: All summer salary must be paid between July 1 and September 30.  For partial month payments, you will need to override the calculation of the number of months by entering the appropriate value (e.g., 1.5) in the MO column.</t>
  </si>
  <si>
    <t>% SUMMER</t>
  </si>
  <si>
    <t>Monthly maximum allowed on state funds or student tuition funds:</t>
  </si>
  <si>
    <t>Maximum Summer Salary:</t>
  </si>
  <si>
    <t>Difference:</t>
  </si>
  <si>
    <t>Total Summer Months Paid:</t>
  </si>
  <si>
    <t>Administrative Stipend/Other</t>
  </si>
  <si>
    <t>Total Benefits</t>
  </si>
  <si>
    <t>Total Cost</t>
  </si>
  <si>
    <t>Total Salary:</t>
  </si>
  <si>
    <t>Difference from approved compensation:</t>
  </si>
  <si>
    <t>Total Salary from Dept Sources:</t>
  </si>
  <si>
    <t>Total Salary from Faculty Sources:</t>
  </si>
  <si>
    <t>Total Salary &amp; Benefits from Dept Sources:</t>
  </si>
  <si>
    <t>Total Salary &amp; Benefits from Faculty Sources:</t>
  </si>
  <si>
    <t>Title/Rank</t>
  </si>
  <si>
    <t>Division</t>
  </si>
  <si>
    <t>Fund Type1</t>
  </si>
  <si>
    <t>Fund Type2</t>
  </si>
  <si>
    <t>CoveredCompSalaryType</t>
  </si>
  <si>
    <t>NegCompSalaryType</t>
  </si>
  <si>
    <t>State General Fund</t>
  </si>
  <si>
    <t>Endowment</t>
  </si>
  <si>
    <t>Covered Comp-No Cap</t>
  </si>
  <si>
    <t>Negotiated Comp-No Cap</t>
  </si>
  <si>
    <t>Student Tuition</t>
  </si>
  <si>
    <t>Gift</t>
  </si>
  <si>
    <t>Covered Comp-Capped Fund</t>
  </si>
  <si>
    <t>Negotiated Comp-Capped Fund</t>
  </si>
  <si>
    <t>Federal Contract or Grant</t>
  </si>
  <si>
    <t>Covered Comp-Cap Gap Fund</t>
  </si>
  <si>
    <t>Negotiated Comp-Cap Gap Fund</t>
  </si>
  <si>
    <t>Private Contract or Grant</t>
  </si>
  <si>
    <t>State Contract or Grant</t>
  </si>
  <si>
    <t>Self-Supporting Degree Fee</t>
  </si>
  <si>
    <t>Professional Degree Fee</t>
  </si>
  <si>
    <t>Royalties or Licensing Fees</t>
  </si>
  <si>
    <t>Indirect Cost Recovery</t>
  </si>
  <si>
    <t>AS</t>
  </si>
  <si>
    <t>Other</t>
  </si>
  <si>
    <t xml:space="preserve">Salary Worksheet - Salary by Month - Regular Academic Year Salary (does not include summer ninths) </t>
  </si>
  <si>
    <t>Covered Comp:</t>
  </si>
  <si>
    <t xml:space="preserve">ENTER ANNUAL CAP RATE: </t>
  </si>
  <si>
    <t>Negotiated Comp:</t>
  </si>
  <si>
    <t>Salary Cap Rate - Monthly</t>
  </si>
  <si>
    <t>Monthly Salary Rate:</t>
  </si>
  <si>
    <t>Salary Cap Rate - Ninths</t>
  </si>
  <si>
    <t>Summer Ninth Rate:</t>
  </si>
  <si>
    <t>Cap Gap "Rate" - Monthly</t>
  </si>
  <si>
    <t>Contingency Fund:</t>
  </si>
  <si>
    <t>Cap Gap "Rate" - Ninths</t>
  </si>
  <si>
    <t>Salary Category</t>
  </si>
  <si>
    <t>Fund</t>
  </si>
  <si>
    <t>Start Date</t>
  </si>
  <si>
    <t>TOTAL</t>
  </si>
  <si>
    <t>Comments</t>
  </si>
  <si>
    <t>e.g. FSEP Winter, Spring</t>
  </si>
  <si>
    <t>I am in compliance with all applicable University policies, procedures, and training requirements, including the following: Patent Agreement, Sexual Harassment Prevention Education Training, Outside Professional Activities, Lab Safety Training.</t>
  </si>
  <si>
    <t>Covered Comp Total</t>
  </si>
  <si>
    <t>Covered Comp Target</t>
  </si>
  <si>
    <t>Balance to Pay</t>
  </si>
  <si>
    <t>Negotiated Comp Total</t>
  </si>
  <si>
    <t>Negotiated Comp Target</t>
  </si>
  <si>
    <t>TOTAL SALARY</t>
  </si>
  <si>
    <t>TOTAL PERCENT TIME</t>
  </si>
  <si>
    <t>Salary Calculation Tools</t>
  </si>
  <si>
    <t>99100A budgeted salary:</t>
  </si>
  <si>
    <t>99100A contingency set aside:</t>
  </si>
  <si>
    <t>99100A proposed salary:</t>
  </si>
  <si>
    <t xml:space="preserve">  -- for individuals who are already paying themselves three summer ninths</t>
  </si>
  <si>
    <t>Faculty Name:</t>
  </si>
  <si>
    <t>Projected Benefits Rates</t>
  </si>
  <si>
    <t>annual 9-mo base sal:</t>
  </si>
  <si>
    <t>desired increase in total gross annual salary:</t>
  </si>
  <si>
    <t>add'l acad yr comp:</t>
  </si>
  <si>
    <t>add'l sum comp:</t>
  </si>
  <si>
    <t>% incr in annual comp:</t>
  </si>
  <si>
    <t>COST CALCULATIONS</t>
  </si>
  <si>
    <t>add'l acad year comp</t>
    <phoneticPr fontId="2" type="noConversion"/>
  </si>
  <si>
    <t>add'l cost for 3/9ths summer</t>
    <phoneticPr fontId="2" type="noConversion"/>
  </si>
  <si>
    <t>add'l cost for contingency fund set aside</t>
  </si>
  <si>
    <t>benefits on add'l acad yr comp</t>
    <phoneticPr fontId="2" type="noConversion"/>
  </si>
  <si>
    <t>benefits on add'l cost for summer ninths</t>
  </si>
  <si>
    <t>benefits on add'l cost for contingency</t>
  </si>
  <si>
    <t>total new sal+ben costs on faculty funds</t>
  </si>
  <si>
    <t>F&amp;A Costs (estimated at 55%)</t>
  </si>
  <si>
    <t>total add'l cost to faculty funds</t>
  </si>
  <si>
    <t>total extra sal "in pocket"</t>
  </si>
  <si>
    <t>Covered Comp</t>
  </si>
  <si>
    <t>Minimum Salary from FTE Fund Source:</t>
  </si>
  <si>
    <t>Salary Sources</t>
  </si>
  <si>
    <t>MOS (annual)</t>
  </si>
  <si>
    <t>BOS (annual)</t>
  </si>
  <si>
    <t>UCDEC5</t>
  </si>
  <si>
    <t>UCOFF1</t>
  </si>
  <si>
    <t>UCANNL  or    UCABVE</t>
  </si>
  <si>
    <t>UCPath Comp Rate Codes:</t>
  </si>
  <si>
    <t>% Time (FTE)</t>
  </si>
  <si>
    <t>O</t>
  </si>
  <si>
    <t>A&amp;H</t>
  </si>
  <si>
    <t>JSOE</t>
  </si>
  <si>
    <t>GPS</t>
  </si>
  <si>
    <t>SIO</t>
  </si>
  <si>
    <t>1100 - PROF-AY</t>
  </si>
  <si>
    <t>1200 - ASSOC PROF-AY</t>
  </si>
  <si>
    <t>1300 - ASST PROF-AY</t>
  </si>
  <si>
    <t>1143 - PROF-AY-B/E/E</t>
  </si>
  <si>
    <t>1243 - ASSOC PROF-AY-B/E/E</t>
  </si>
  <si>
    <t>1343 - ASST PROF-AY-B/E/E</t>
  </si>
  <si>
    <t>1110 - PROF-FY</t>
  </si>
  <si>
    <t>1210 - ASSOC PROF-FY</t>
  </si>
  <si>
    <t>1310 - ASST PROF-FY</t>
  </si>
  <si>
    <t>3250 - PROF IN RES-AY</t>
  </si>
  <si>
    <t>3260 - ASSOC PROF IN RES-AY</t>
  </si>
  <si>
    <t>3270 - ASST PROF IN RES-AY</t>
  </si>
  <si>
    <t>3381 - PROF IN RES-AY-B/E/E</t>
  </si>
  <si>
    <t>3384 - ASSOC PROF IN RES-AY-B/E/E</t>
  </si>
  <si>
    <t>3387 - ASST PROF IN RES-AY-B/E/E</t>
  </si>
  <si>
    <t>1603 - SR LECT SOE-AY</t>
  </si>
  <si>
    <t>1607 - LECT SOE-AY</t>
  </si>
  <si>
    <t>1680 - LECT PSOE-AY</t>
  </si>
  <si>
    <t>BIO SC</t>
  </si>
  <si>
    <t>PHYS SC</t>
  </si>
  <si>
    <t>SOC SC</t>
  </si>
  <si>
    <t>RADY</t>
  </si>
  <si>
    <t>UCPath Note</t>
  </si>
  <si>
    <t>REG Earnings Code on MCOP Salary Worksheet</t>
  </si>
  <si>
    <t>NNC Earnings Code on MCOP Salary Worksheet</t>
  </si>
  <si>
    <t>Use this section to record other salary payments, such as stipends, overload teaching, university extension teaching or other one-time payments that will entered as additional pay (on the applicable job) in UCPath.</t>
  </si>
  <si>
    <t>1686 - SR LECT SOE-AY-B/E/E</t>
  </si>
  <si>
    <t>1687 - LECT SOE-AY-B/E/E</t>
  </si>
  <si>
    <t>1688 - LECT PSOE-AY-B/E/E</t>
  </si>
  <si>
    <t xml:space="preserve">Edit rates as necessary to reflect CBR </t>
  </si>
  <si>
    <t>Earn Code</t>
  </si>
  <si>
    <t>Project</t>
  </si>
  <si>
    <t>Entity</t>
  </si>
  <si>
    <t>Financial Unit</t>
  </si>
  <si>
    <t>Function</t>
  </si>
  <si>
    <t>Task</t>
  </si>
  <si>
    <t xml:space="preserve">Annual Salary: </t>
  </si>
  <si>
    <t>FINANCIAL UNIT</t>
  </si>
  <si>
    <t>ENTITY</t>
  </si>
  <si>
    <t>PROJECT</t>
  </si>
  <si>
    <t>TASK</t>
  </si>
  <si>
    <t>FUNCTION</t>
  </si>
  <si>
    <t>Fund Type</t>
  </si>
  <si>
    <r>
      <t>Proposed</t>
    </r>
    <r>
      <rPr>
        <b/>
        <sz val="8"/>
        <color theme="1"/>
        <rFont val="Calibri"/>
        <family val="2"/>
        <scheme val="minor"/>
      </rPr>
      <t xml:space="preserve"> </t>
    </r>
    <r>
      <rPr>
        <b/>
        <sz val="10"/>
        <color theme="1"/>
        <rFont val="Calibri"/>
        <family val="2"/>
        <scheme val="minor"/>
      </rPr>
      <t>for 7/1</t>
    </r>
  </si>
  <si>
    <t>FUNDING SOURCE</t>
  </si>
  <si>
    <t>HSDI</t>
  </si>
  <si>
    <t>Funding Source</t>
  </si>
  <si>
    <t xml:space="preserve"> Proposed Enrollment %</t>
  </si>
  <si>
    <t>Covered Comp Entriess</t>
  </si>
  <si>
    <t>Negotiated Comp Entries</t>
  </si>
  <si>
    <t>3 ninths at covered comp rate:</t>
  </si>
  <si>
    <t>13991 budgeted salary:</t>
  </si>
  <si>
    <t>13991 contingency set aside:</t>
  </si>
  <si>
    <t>End Date</t>
  </si>
  <si>
    <t>REG</t>
  </si>
  <si>
    <t>NXX</t>
  </si>
  <si>
    <t>NNC</t>
  </si>
  <si>
    <t>UCPath Note: ACR Earn Code for Funding Entry (Use MCOP worksheet for capped funds)</t>
  </si>
  <si>
    <t>School:</t>
  </si>
  <si>
    <t>Negotiated Salary  Component</t>
  </si>
  <si>
    <t>Negotiated Component</t>
  </si>
  <si>
    <t>Negotiated Salary Component</t>
  </si>
  <si>
    <t>Use this section to record salary for the negotiated salary component</t>
  </si>
  <si>
    <t>Calculation of Additional Cost to Faculty Funds for Participating in NSP</t>
  </si>
  <si>
    <t>NEGOTIATED SALARY PROGRAM REQUEST</t>
  </si>
  <si>
    <t>CBR FY 2025-2026 (Preliminary)</t>
  </si>
  <si>
    <t>Smith, John</t>
  </si>
  <si>
    <t>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</si>
</sst>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0.0000_);\(#,##0.0000\)"/>
    <numFmt numFmtId="165" formatCode="&quot;$&quot;#,##0"/>
    <numFmt numFmtId="166" formatCode="_(* #,##0_);_(* \(#,##0\);_(* &quot;-&quot;??_);_(@_)"/>
    <numFmt numFmtId="167" formatCode="0.0000"/>
    <numFmt numFmtId="168" formatCode="#,##0.000000_);\(#,##0.000000\)"/>
    <numFmt numFmtId="169" formatCode="0.000000%"/>
    <numFmt numFmtId="170" formatCode="0.00000000"/>
    <numFmt numFmtId="171" formatCode="&quot;$&quot;#,##0.00"/>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name val="Arial"/>
      <family val="2"/>
    </font>
    <font>
      <sz val="12"/>
      <name val="Arial"/>
      <family val="2"/>
    </font>
    <font>
      <i/>
      <sz val="11"/>
      <color theme="1"/>
      <name val="Calibri"/>
      <family val="2"/>
      <scheme val="minor"/>
    </font>
    <font>
      <b/>
      <sz val="10"/>
      <color theme="1"/>
      <name val="Calibri"/>
      <family val="2"/>
      <scheme val="minor"/>
    </font>
    <font>
      <b/>
      <sz val="14"/>
      <color theme="1"/>
      <name val="Calibri"/>
      <family val="2"/>
      <scheme val="minor"/>
    </font>
    <font>
      <b/>
      <sz val="12"/>
      <color theme="1"/>
      <name val="Calibri"/>
      <family val="2"/>
      <scheme val="minor"/>
    </font>
    <font>
      <b/>
      <sz val="12"/>
      <color theme="0"/>
      <name val="Calibri"/>
      <family val="2"/>
      <scheme val="minor"/>
    </font>
    <font>
      <b/>
      <sz val="12"/>
      <name val="Calibri"/>
      <family val="2"/>
      <scheme val="minor"/>
    </font>
    <font>
      <sz val="11"/>
      <name val="Calibri"/>
      <family val="2"/>
      <scheme val="minor"/>
    </font>
    <font>
      <sz val="10"/>
      <color theme="1"/>
      <name val="Calibri"/>
      <family val="2"/>
      <scheme val="minor"/>
    </font>
    <font>
      <u/>
      <sz val="11"/>
      <color theme="1"/>
      <name val="Calibri"/>
      <family val="2"/>
      <scheme val="minor"/>
    </font>
    <font>
      <sz val="12"/>
      <color theme="1"/>
      <name val="Calibri"/>
      <family val="2"/>
      <scheme val="minor"/>
    </font>
    <font>
      <i/>
      <sz val="11"/>
      <color rgb="FFFF0000"/>
      <name val="Calibri"/>
      <family val="2"/>
      <scheme val="minor"/>
    </font>
    <font>
      <b/>
      <sz val="11"/>
      <color rgb="FFFF0000"/>
      <name val="Calibri"/>
      <family val="2"/>
      <scheme val="minor"/>
    </font>
    <font>
      <b/>
      <i/>
      <sz val="11"/>
      <color theme="1"/>
      <name val="Calibri"/>
      <family val="2"/>
      <scheme val="minor"/>
    </font>
    <font>
      <sz val="11"/>
      <color theme="1"/>
      <name val="Calibri"/>
      <family val="2"/>
    </font>
    <font>
      <sz val="11"/>
      <color rgb="FF000000"/>
      <name val="Times New Roman"/>
      <family val="1"/>
    </font>
    <font>
      <i/>
      <sz val="9"/>
      <color theme="1"/>
      <name val="Calibri"/>
      <family val="2"/>
      <scheme val="minor"/>
    </font>
    <font>
      <sz val="11"/>
      <color rgb="FF1F497D"/>
      <name val="Calibri"/>
      <family val="2"/>
      <scheme val="minor"/>
    </font>
    <font>
      <sz val="9"/>
      <color indexed="81"/>
      <name val="Tahoma"/>
      <family val="2"/>
    </font>
    <font>
      <b/>
      <sz val="9"/>
      <color indexed="81"/>
      <name val="Tahoma"/>
      <family val="2"/>
    </font>
    <font>
      <b/>
      <sz val="9"/>
      <color theme="1"/>
      <name val="Calibri"/>
      <family val="2"/>
      <scheme val="minor"/>
    </font>
    <font>
      <b/>
      <sz val="8"/>
      <color theme="1"/>
      <name val="Calibri"/>
      <family val="2"/>
      <scheme val="minor"/>
    </font>
    <font>
      <b/>
      <i/>
      <sz val="8"/>
      <color theme="1"/>
      <name val="Calibri"/>
      <family val="2"/>
      <scheme val="minor"/>
    </font>
    <font>
      <sz val="12"/>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27">
    <xf numFmtId="0" fontId="0"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5" fillId="0" borderId="0"/>
    <xf numFmtId="0" fontId="5" fillId="0" borderId="0"/>
    <xf numFmtId="0" fontId="5" fillId="0" borderId="0"/>
    <xf numFmtId="9" fontId="4" fillId="0" borderId="0" applyFont="0" applyFill="0" applyBorder="0" applyAlignment="0" applyProtection="0"/>
    <xf numFmtId="9"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5" fillId="0" borderId="0"/>
    <xf numFmtId="44" fontId="15" fillId="0" borderId="0" applyFont="0" applyFill="0" applyBorder="0" applyAlignment="0" applyProtection="0"/>
    <xf numFmtId="9" fontId="15" fillId="0" borderId="0" applyFont="0" applyFill="0" applyBorder="0" applyAlignment="0" applyProtection="0"/>
    <xf numFmtId="43" fontId="1" fillId="0" borderId="0" applyFont="0" applyFill="0" applyBorder="0" applyAlignment="0" applyProtection="0"/>
    <xf numFmtId="0" fontId="19"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302">
    <xf numFmtId="0" fontId="0" fillId="0" borderId="0" xfId="0"/>
    <xf numFmtId="5" fontId="0" fillId="0" borderId="0" xfId="15" applyNumberFormat="1" applyFont="1" applyAlignment="1">
      <alignment horizontal="right"/>
    </xf>
    <xf numFmtId="0" fontId="0" fillId="0" borderId="0" xfId="0" applyAlignment="1">
      <alignment vertical="center"/>
    </xf>
    <xf numFmtId="0" fontId="0" fillId="0" borderId="0" xfId="0" applyAlignment="1">
      <alignment horizontal="right"/>
    </xf>
    <xf numFmtId="5" fontId="6" fillId="0" borderId="0" xfId="15" applyNumberFormat="1" applyFont="1" applyAlignment="1">
      <alignment horizontal="right"/>
    </xf>
    <xf numFmtId="5" fontId="7" fillId="0" borderId="4" xfId="15" applyNumberFormat="1" applyFont="1" applyBorder="1" applyAlignment="1">
      <alignment horizontal="center" wrapText="1"/>
    </xf>
    <xf numFmtId="0" fontId="7" fillId="0" borderId="4" xfId="0" applyFont="1" applyBorder="1"/>
    <xf numFmtId="0" fontId="2" fillId="0" borderId="0" xfId="0" applyFont="1"/>
    <xf numFmtId="0" fontId="8" fillId="0" borderId="0" xfId="0" applyFont="1"/>
    <xf numFmtId="0" fontId="9" fillId="0" borderId="0" xfId="0" applyFont="1"/>
    <xf numFmtId="0" fontId="10" fillId="0" borderId="0" xfId="0" applyFont="1"/>
    <xf numFmtId="5" fontId="0" fillId="3" borderId="5" xfId="15" applyNumberFormat="1" applyFont="1" applyFill="1" applyBorder="1" applyAlignment="1">
      <alignment horizontal="right"/>
    </xf>
    <xf numFmtId="5" fontId="0" fillId="4" borderId="5" xfId="15" applyNumberFormat="1" applyFont="1" applyFill="1" applyBorder="1" applyAlignment="1">
      <alignment horizontal="right"/>
    </xf>
    <xf numFmtId="5" fontId="0" fillId="4" borderId="5" xfId="0" applyNumberFormat="1" applyFill="1" applyBorder="1" applyAlignment="1">
      <alignment horizontal="right"/>
    </xf>
    <xf numFmtId="0" fontId="0" fillId="4" borderId="0" xfId="0" applyFill="1"/>
    <xf numFmtId="0" fontId="11" fillId="4" borderId="0" xfId="0" applyFont="1" applyFill="1"/>
    <xf numFmtId="0" fontId="12" fillId="4" borderId="0" xfId="0" applyFont="1" applyFill="1"/>
    <xf numFmtId="0" fontId="7" fillId="0" borderId="4" xfId="0" applyFont="1" applyBorder="1" applyAlignment="1">
      <alignment horizontal="center"/>
    </xf>
    <xf numFmtId="0" fontId="0" fillId="3" borderId="5" xfId="0" applyFill="1" applyBorder="1" applyAlignment="1">
      <alignment horizontal="center" vertical="center"/>
    </xf>
    <xf numFmtId="9" fontId="0" fillId="3" borderId="3" xfId="16" applyFont="1" applyFill="1" applyBorder="1" applyAlignment="1">
      <alignment horizontal="center"/>
    </xf>
    <xf numFmtId="0" fontId="6" fillId="0" borderId="0" xfId="0" applyFont="1" applyAlignment="1">
      <alignment horizontal="right"/>
    </xf>
    <xf numFmtId="7" fontId="6" fillId="0" borderId="0" xfId="0" applyNumberFormat="1" applyFont="1" applyAlignment="1">
      <alignment horizontal="right"/>
    </xf>
    <xf numFmtId="0" fontId="0" fillId="0" borderId="0" xfId="0" applyAlignment="1">
      <alignment horizontal="center"/>
    </xf>
    <xf numFmtId="0" fontId="0" fillId="4" borderId="0" xfId="0" applyFill="1" applyAlignment="1">
      <alignment horizontal="center"/>
    </xf>
    <xf numFmtId="39" fontId="0" fillId="0" borderId="0" xfId="0" applyNumberFormat="1"/>
    <xf numFmtId="39" fontId="0" fillId="4" borderId="0" xfId="0" applyNumberFormat="1" applyFill="1"/>
    <xf numFmtId="39" fontId="6" fillId="0" borderId="0" xfId="0" applyNumberFormat="1" applyFont="1"/>
    <xf numFmtId="164" fontId="0" fillId="4" borderId="0" xfId="0" applyNumberFormat="1" applyFill="1"/>
    <xf numFmtId="5" fontId="0" fillId="5" borderId="5" xfId="15" applyNumberFormat="1" applyFont="1" applyFill="1" applyBorder="1" applyAlignment="1">
      <alignment horizontal="right"/>
    </xf>
    <xf numFmtId="164" fontId="0" fillId="0" borderId="0" xfId="0" applyNumberFormat="1"/>
    <xf numFmtId="0" fontId="13" fillId="5" borderId="8" xfId="0" applyFont="1" applyFill="1" applyBorder="1"/>
    <xf numFmtId="0" fontId="0" fillId="5" borderId="9" xfId="0" applyFill="1" applyBorder="1"/>
    <xf numFmtId="0" fontId="13" fillId="5" borderId="10" xfId="0" applyFont="1" applyFill="1" applyBorder="1"/>
    <xf numFmtId="0" fontId="0" fillId="5" borderId="11" xfId="0" applyFill="1" applyBorder="1"/>
    <xf numFmtId="7" fontId="6" fillId="0" borderId="0" xfId="0" applyNumberFormat="1" applyFont="1"/>
    <xf numFmtId="164" fontId="6" fillId="0" borderId="0" xfId="0" applyNumberFormat="1" applyFont="1"/>
    <xf numFmtId="5" fontId="0" fillId="0" borderId="0" xfId="0" applyNumberFormat="1" applyAlignment="1">
      <alignment horizontal="right"/>
    </xf>
    <xf numFmtId="0" fontId="12" fillId="0" borderId="0" xfId="0" applyFont="1"/>
    <xf numFmtId="5" fontId="13" fillId="0" borderId="2" xfId="15" applyNumberFormat="1" applyFont="1" applyFill="1" applyBorder="1" applyAlignment="1">
      <alignment horizontal="right"/>
    </xf>
    <xf numFmtId="5" fontId="0" fillId="0" borderId="0" xfId="15" applyNumberFormat="1" applyFont="1" applyFill="1" applyBorder="1" applyAlignment="1">
      <alignment horizontal="right"/>
    </xf>
    <xf numFmtId="0" fontId="0" fillId="7" borderId="12" xfId="0" applyFill="1" applyBorder="1"/>
    <xf numFmtId="0" fontId="0" fillId="7" borderId="7" xfId="0" applyFill="1" applyBorder="1"/>
    <xf numFmtId="0" fontId="0" fillId="7" borderId="8" xfId="0" applyFill="1" applyBorder="1"/>
    <xf numFmtId="0" fontId="0" fillId="7" borderId="0" xfId="0" applyFill="1"/>
    <xf numFmtId="0" fontId="0" fillId="7" borderId="9" xfId="0" applyFill="1" applyBorder="1"/>
    <xf numFmtId="39" fontId="0" fillId="7" borderId="0" xfId="0" applyNumberFormat="1" applyFill="1"/>
    <xf numFmtId="0" fontId="0" fillId="7" borderId="10" xfId="0" applyFill="1" applyBorder="1"/>
    <xf numFmtId="0" fontId="0" fillId="7" borderId="4" xfId="0" applyFill="1" applyBorder="1"/>
    <xf numFmtId="0" fontId="0" fillId="7" borderId="11" xfId="0" applyFill="1" applyBorder="1"/>
    <xf numFmtId="0" fontId="14" fillId="7" borderId="8" xfId="0" applyFont="1" applyFill="1" applyBorder="1"/>
    <xf numFmtId="0" fontId="2" fillId="7" borderId="6" xfId="0" applyFont="1" applyFill="1" applyBorder="1"/>
    <xf numFmtId="0" fontId="0" fillId="8" borderId="0" xfId="0" applyFill="1"/>
    <xf numFmtId="0" fontId="2" fillId="9" borderId="6" xfId="0" applyFont="1" applyFill="1" applyBorder="1"/>
    <xf numFmtId="0" fontId="0" fillId="9" borderId="12" xfId="0" applyFill="1" applyBorder="1"/>
    <xf numFmtId="0" fontId="0" fillId="9" borderId="7" xfId="0" applyFill="1" applyBorder="1"/>
    <xf numFmtId="0" fontId="0" fillId="9" borderId="8" xfId="0" applyFill="1" applyBorder="1"/>
    <xf numFmtId="0" fontId="0" fillId="9" borderId="0" xfId="0" applyFill="1"/>
    <xf numFmtId="0" fontId="0" fillId="9" borderId="9" xfId="0" applyFill="1" applyBorder="1"/>
    <xf numFmtId="37" fontId="0" fillId="9" borderId="9" xfId="0" applyNumberFormat="1" applyFill="1" applyBorder="1"/>
    <xf numFmtId="39" fontId="0" fillId="9" borderId="9" xfId="0" applyNumberFormat="1" applyFill="1" applyBorder="1"/>
    <xf numFmtId="0" fontId="0" fillId="9" borderId="10" xfId="0" applyFill="1" applyBorder="1"/>
    <xf numFmtId="0" fontId="0" fillId="9" borderId="4" xfId="0" applyFill="1" applyBorder="1"/>
    <xf numFmtId="0" fontId="0" fillId="9" borderId="11" xfId="0" applyFill="1" applyBorder="1"/>
    <xf numFmtId="0" fontId="2" fillId="6" borderId="6" xfId="0" applyFont="1" applyFill="1" applyBorder="1"/>
    <xf numFmtId="0" fontId="0" fillId="6" borderId="12" xfId="0" applyFill="1" applyBorder="1"/>
    <xf numFmtId="0" fontId="0" fillId="6" borderId="7" xfId="0" applyFill="1" applyBorder="1"/>
    <xf numFmtId="0" fontId="0" fillId="6" borderId="8" xfId="0" applyFill="1" applyBorder="1"/>
    <xf numFmtId="0" fontId="0" fillId="6" borderId="0" xfId="0" applyFill="1"/>
    <xf numFmtId="0" fontId="0" fillId="6" borderId="9" xfId="0" applyFill="1" applyBorder="1"/>
    <xf numFmtId="0" fontId="0" fillId="6" borderId="10" xfId="0" applyFill="1" applyBorder="1"/>
    <xf numFmtId="0" fontId="0" fillId="6" borderId="4" xfId="0" applyFill="1" applyBorder="1"/>
    <xf numFmtId="0" fontId="0" fillId="6" borderId="11" xfId="0" applyFill="1" applyBorder="1"/>
    <xf numFmtId="0" fontId="14" fillId="9" borderId="8" xfId="0" applyFont="1" applyFill="1" applyBorder="1"/>
    <xf numFmtId="0" fontId="14" fillId="6" borderId="8" xfId="0" applyFont="1" applyFill="1" applyBorder="1"/>
    <xf numFmtId="39" fontId="0" fillId="6" borderId="0" xfId="0" applyNumberFormat="1" applyFill="1"/>
    <xf numFmtId="164" fontId="0" fillId="6" borderId="0" xfId="0" applyNumberFormat="1" applyFill="1"/>
    <xf numFmtId="39" fontId="0" fillId="6" borderId="4" xfId="0" applyNumberFormat="1" applyFill="1" applyBorder="1"/>
    <xf numFmtId="39" fontId="6" fillId="0" borderId="0" xfId="0" applyNumberFormat="1" applyFont="1" applyAlignment="1">
      <alignment horizontal="right"/>
    </xf>
    <xf numFmtId="0" fontId="11" fillId="0" borderId="0" xfId="0" applyFont="1"/>
    <xf numFmtId="0" fontId="6" fillId="0" borderId="0" xfId="0" applyFont="1"/>
    <xf numFmtId="10" fontId="0" fillId="5" borderId="5" xfId="16" applyNumberFormat="1" applyFont="1" applyFill="1" applyBorder="1" applyAlignment="1">
      <alignment horizontal="right"/>
    </xf>
    <xf numFmtId="5" fontId="0" fillId="0" borderId="0" xfId="0" applyNumberFormat="1" applyAlignment="1">
      <alignment horizontal="left"/>
    </xf>
    <xf numFmtId="7" fontId="0" fillId="0" borderId="0" xfId="0" applyNumberFormat="1"/>
    <xf numFmtId="43" fontId="0" fillId="0" borderId="0" xfId="21" applyFont="1"/>
    <xf numFmtId="0" fontId="0" fillId="10" borderId="12" xfId="0" applyFill="1" applyBorder="1"/>
    <xf numFmtId="0" fontId="0" fillId="10" borderId="7" xfId="0" applyFill="1" applyBorder="1"/>
    <xf numFmtId="0" fontId="0" fillId="10" borderId="8" xfId="0" applyFill="1" applyBorder="1"/>
    <xf numFmtId="0" fontId="0" fillId="10" borderId="0" xfId="0" applyFill="1"/>
    <xf numFmtId="0" fontId="0" fillId="10" borderId="9" xfId="0" applyFill="1" applyBorder="1"/>
    <xf numFmtId="0" fontId="0" fillId="10" borderId="0" xfId="0" applyFill="1" applyAlignment="1">
      <alignment horizontal="left"/>
    </xf>
    <xf numFmtId="43" fontId="0" fillId="10" borderId="0" xfId="21" applyFont="1" applyFill="1" applyBorder="1"/>
    <xf numFmtId="0" fontId="2" fillId="10" borderId="6" xfId="0" applyFont="1" applyFill="1" applyBorder="1"/>
    <xf numFmtId="0" fontId="0" fillId="0" borderId="0" xfId="0" applyAlignment="1">
      <alignment wrapText="1"/>
    </xf>
    <xf numFmtId="43" fontId="17" fillId="0" borderId="5" xfId="21" applyFont="1" applyFill="1" applyBorder="1"/>
    <xf numFmtId="0" fontId="18" fillId="0" borderId="0" xfId="0" applyFont="1" applyAlignment="1">
      <alignment vertical="top" wrapText="1"/>
    </xf>
    <xf numFmtId="0" fontId="0" fillId="9" borderId="6" xfId="0" applyFill="1" applyBorder="1"/>
    <xf numFmtId="0" fontId="2" fillId="9" borderId="12" xfId="0" applyFont="1" applyFill="1" applyBorder="1"/>
    <xf numFmtId="0" fontId="0" fillId="9" borderId="0" xfId="0" applyFill="1" applyAlignment="1">
      <alignment horizontal="right"/>
    </xf>
    <xf numFmtId="166" fontId="0" fillId="9" borderId="0" xfId="21" applyNumberFormat="1" applyFont="1" applyFill="1" applyBorder="1"/>
    <xf numFmtId="43" fontId="0" fillId="9" borderId="0" xfId="21" applyFont="1" applyFill="1" applyBorder="1"/>
    <xf numFmtId="167" fontId="0" fillId="0" borderId="0" xfId="0" applyNumberFormat="1"/>
    <xf numFmtId="0" fontId="6" fillId="0" borderId="0" xfId="0" applyFont="1" applyAlignment="1">
      <alignment horizontal="center"/>
    </xf>
    <xf numFmtId="43" fontId="6" fillId="0" borderId="0" xfId="21" applyFont="1"/>
    <xf numFmtId="166" fontId="0" fillId="0" borderId="0" xfId="21" applyNumberFormat="1" applyFont="1"/>
    <xf numFmtId="0" fontId="2" fillId="0" borderId="0" xfId="0" applyFont="1" applyAlignment="1">
      <alignment vertical="center"/>
    </xf>
    <xf numFmtId="0" fontId="0" fillId="4" borderId="6" xfId="0" applyFill="1" applyBorder="1"/>
    <xf numFmtId="0" fontId="0" fillId="4" borderId="12" xfId="0" applyFill="1" applyBorder="1"/>
    <xf numFmtId="0" fontId="0" fillId="4" borderId="10" xfId="0" applyFill="1" applyBorder="1"/>
    <xf numFmtId="0" fontId="0" fillId="4" borderId="4" xfId="0" applyFill="1" applyBorder="1"/>
    <xf numFmtId="166" fontId="0" fillId="9" borderId="4" xfId="21" applyNumberFormat="1" applyFont="1" applyFill="1" applyBorder="1"/>
    <xf numFmtId="43" fontId="0" fillId="9" borderId="4" xfId="21" applyFont="1" applyFill="1" applyBorder="1"/>
    <xf numFmtId="0" fontId="6" fillId="0" borderId="5" xfId="0" applyFont="1" applyBorder="1"/>
    <xf numFmtId="5" fontId="0" fillId="10" borderId="0" xfId="21" applyNumberFormat="1" applyFont="1" applyFill="1" applyBorder="1"/>
    <xf numFmtId="0" fontId="6" fillId="0" borderId="0" xfId="0" applyFont="1" applyAlignment="1">
      <alignment wrapText="1"/>
    </xf>
    <xf numFmtId="5" fontId="7" fillId="0" borderId="4" xfId="15" applyNumberFormat="1" applyFont="1" applyFill="1" applyBorder="1" applyAlignment="1">
      <alignment horizontal="center" wrapText="1"/>
    </xf>
    <xf numFmtId="7" fontId="6" fillId="0" borderId="0" xfId="15" applyNumberFormat="1" applyFont="1" applyAlignment="1">
      <alignment horizontal="right"/>
    </xf>
    <xf numFmtId="0" fontId="0" fillId="10" borderId="10" xfId="0" applyFill="1" applyBorder="1"/>
    <xf numFmtId="0" fontId="0" fillId="10" borderId="4" xfId="0" applyFill="1" applyBorder="1"/>
    <xf numFmtId="43" fontId="0" fillId="10" borderId="4" xfId="21" applyFont="1" applyFill="1" applyBorder="1"/>
    <xf numFmtId="0" fontId="0" fillId="10" borderId="11" xfId="0" applyFill="1" applyBorder="1"/>
    <xf numFmtId="5" fontId="13" fillId="0" borderId="0" xfId="15" applyNumberFormat="1" applyFont="1" applyFill="1" applyBorder="1" applyAlignment="1">
      <alignment horizontal="right"/>
    </xf>
    <xf numFmtId="5" fontId="6" fillId="0" borderId="0" xfId="15" applyNumberFormat="1" applyFont="1" applyFill="1" applyBorder="1" applyAlignment="1">
      <alignment horizontal="right"/>
    </xf>
    <xf numFmtId="0" fontId="20" fillId="0" borderId="0" xfId="0" applyFont="1" applyAlignment="1">
      <alignment horizontal="left" vertical="top" wrapText="1"/>
    </xf>
    <xf numFmtId="5" fontId="21" fillId="0" borderId="0" xfId="15" applyNumberFormat="1" applyFont="1" applyFill="1" applyBorder="1" applyAlignment="1">
      <alignment horizontal="center" wrapText="1"/>
    </xf>
    <xf numFmtId="5" fontId="21" fillId="0" borderId="0" xfId="15" applyNumberFormat="1" applyFont="1" applyFill="1" applyBorder="1" applyAlignment="1">
      <alignment horizontal="right"/>
    </xf>
    <xf numFmtId="3" fontId="22" fillId="0" borderId="0" xfId="0" applyNumberFormat="1" applyFont="1" applyAlignment="1">
      <alignment vertical="center" wrapText="1"/>
    </xf>
    <xf numFmtId="2" fontId="22" fillId="0" borderId="0" xfId="0" applyNumberFormat="1" applyFont="1" applyAlignment="1">
      <alignment vertical="center" wrapText="1"/>
    </xf>
    <xf numFmtId="0" fontId="22" fillId="0" borderId="0" xfId="0" applyFont="1" applyAlignment="1">
      <alignment vertical="center" wrapText="1"/>
    </xf>
    <xf numFmtId="168" fontId="0" fillId="0" borderId="0" xfId="0" applyNumberFormat="1"/>
    <xf numFmtId="0" fontId="2" fillId="7" borderId="12" xfId="0" applyFont="1" applyFill="1" applyBorder="1"/>
    <xf numFmtId="0" fontId="14" fillId="7" borderId="0" xfId="0" applyFont="1" applyFill="1"/>
    <xf numFmtId="0" fontId="0" fillId="13" borderId="0" xfId="0" applyFill="1"/>
    <xf numFmtId="43" fontId="0" fillId="13" borderId="0" xfId="21" applyFont="1" applyFill="1"/>
    <xf numFmtId="0" fontId="2" fillId="0" borderId="5" xfId="0" applyFont="1" applyBorder="1"/>
    <xf numFmtId="0" fontId="2" fillId="0" borderId="5" xfId="0" applyFont="1" applyBorder="1" applyAlignment="1">
      <alignment horizontal="center"/>
    </xf>
    <xf numFmtId="17" fontId="2" fillId="0" borderId="5" xfId="0" applyNumberFormat="1" applyFont="1" applyBorder="1"/>
    <xf numFmtId="0" fontId="2" fillId="0" borderId="5" xfId="0" applyFont="1" applyBorder="1" applyAlignment="1">
      <alignment horizontal="right"/>
    </xf>
    <xf numFmtId="0" fontId="0" fillId="3" borderId="5" xfId="0" applyFill="1" applyBorder="1"/>
    <xf numFmtId="14" fontId="0" fillId="3" borderId="5" xfId="0" applyNumberFormat="1" applyFill="1" applyBorder="1"/>
    <xf numFmtId="0" fontId="0" fillId="0" borderId="5" xfId="0" applyBorder="1" applyAlignment="1">
      <alignment horizontal="center"/>
    </xf>
    <xf numFmtId="43" fontId="0" fillId="0" borderId="5" xfId="21" applyFont="1" applyBorder="1"/>
    <xf numFmtId="0" fontId="0" fillId="0" borderId="5" xfId="0" applyBorder="1"/>
    <xf numFmtId="167" fontId="0" fillId="3" borderId="5" xfId="0" applyNumberFormat="1" applyFill="1" applyBorder="1"/>
    <xf numFmtId="167" fontId="0" fillId="0" borderId="5" xfId="0" applyNumberFormat="1" applyBorder="1"/>
    <xf numFmtId="0" fontId="6" fillId="0" borderId="5" xfId="0" applyFont="1" applyBorder="1" applyAlignment="1">
      <alignment horizontal="center"/>
    </xf>
    <xf numFmtId="43" fontId="6" fillId="0" borderId="5" xfId="21" applyFont="1" applyBorder="1"/>
    <xf numFmtId="166" fontId="6" fillId="0" borderId="5" xfId="21" applyNumberFormat="1" applyFont="1" applyBorder="1"/>
    <xf numFmtId="0" fontId="6" fillId="0" borderId="5" xfId="0" applyFont="1" applyBorder="1" applyAlignment="1">
      <alignment horizontal="left"/>
    </xf>
    <xf numFmtId="169" fontId="0" fillId="11" borderId="5" xfId="16" applyNumberFormat="1" applyFont="1" applyFill="1" applyBorder="1"/>
    <xf numFmtId="0" fontId="0" fillId="12" borderId="0" xfId="0" applyFill="1"/>
    <xf numFmtId="0" fontId="0" fillId="12" borderId="0" xfId="0" applyFill="1" applyAlignment="1">
      <alignment horizontal="left"/>
    </xf>
    <xf numFmtId="14" fontId="0" fillId="3" borderId="0" xfId="0" applyNumberFormat="1" applyFill="1" applyAlignment="1" applyProtection="1">
      <alignment horizontal="center"/>
      <protection locked="0"/>
    </xf>
    <xf numFmtId="5" fontId="0" fillId="12" borderId="0" xfId="15" applyNumberFormat="1" applyFont="1" applyFill="1" applyBorder="1" applyAlignment="1">
      <alignment horizontal="right"/>
    </xf>
    <xf numFmtId="0" fontId="13" fillId="2" borderId="5" xfId="0" applyFont="1" applyFill="1" applyBorder="1" applyAlignment="1" applyProtection="1">
      <alignment vertical="center"/>
      <protection locked="0"/>
    </xf>
    <xf numFmtId="0" fontId="0" fillId="2" borderId="5" xfId="0" applyFill="1" applyBorder="1" applyAlignment="1" applyProtection="1">
      <alignment horizontal="center" vertical="center"/>
      <protection locked="0"/>
    </xf>
    <xf numFmtId="5" fontId="0" fillId="2" borderId="5" xfId="15" applyNumberFormat="1" applyFont="1" applyFill="1" applyBorder="1" applyAlignment="1" applyProtection="1">
      <alignment horizontal="right"/>
      <protection locked="0"/>
    </xf>
    <xf numFmtId="5" fontId="0" fillId="2" borderId="5" xfId="15" applyNumberFormat="1" applyFont="1" applyFill="1" applyBorder="1" applyAlignment="1" applyProtection="1">
      <alignment horizontal="center"/>
      <protection locked="0"/>
    </xf>
    <xf numFmtId="9" fontId="0" fillId="2" borderId="5" xfId="16" applyFont="1" applyFill="1" applyBorder="1" applyAlignment="1" applyProtection="1">
      <alignment horizontal="center"/>
      <protection locked="0"/>
    </xf>
    <xf numFmtId="5" fontId="0" fillId="6" borderId="5" xfId="0" applyNumberFormat="1" applyFill="1" applyBorder="1" applyAlignment="1">
      <alignment horizontal="right"/>
    </xf>
    <xf numFmtId="0" fontId="11" fillId="6" borderId="0" xfId="0" applyFont="1" applyFill="1"/>
    <xf numFmtId="0" fontId="7" fillId="0" borderId="0" xfId="0" applyFont="1" applyAlignment="1">
      <alignment horizontal="center" wrapText="1"/>
    </xf>
    <xf numFmtId="0" fontId="7" fillId="0" borderId="0" xfId="0" applyFont="1" applyAlignment="1">
      <alignment horizontal="center"/>
    </xf>
    <xf numFmtId="5" fontId="7" fillId="0" borderId="0" xfId="15" applyNumberFormat="1" applyFont="1" applyBorder="1" applyAlignment="1" applyProtection="1">
      <alignment horizontal="center" wrapText="1"/>
    </xf>
    <xf numFmtId="5" fontId="7" fillId="5" borderId="0" xfId="15" applyNumberFormat="1" applyFont="1" applyFill="1" applyBorder="1" applyAlignment="1" applyProtection="1">
      <alignment horizontal="center" wrapText="1"/>
    </xf>
    <xf numFmtId="5" fontId="7" fillId="0" borderId="0" xfId="15" applyNumberFormat="1" applyFont="1" applyFill="1" applyBorder="1" applyAlignment="1" applyProtection="1">
      <alignment horizontal="center" wrapText="1"/>
    </xf>
    <xf numFmtId="5" fontId="7" fillId="6" borderId="0" xfId="15" applyNumberFormat="1" applyFont="1" applyFill="1" applyBorder="1" applyAlignment="1" applyProtection="1">
      <alignment horizontal="center" wrapText="1"/>
    </xf>
    <xf numFmtId="5" fontId="6" fillId="0" borderId="0" xfId="15" applyNumberFormat="1" applyFont="1" applyFill="1" applyBorder="1" applyAlignment="1" applyProtection="1">
      <alignment horizontal="right"/>
    </xf>
    <xf numFmtId="9" fontId="6" fillId="0" borderId="0" xfId="16" applyFont="1" applyFill="1" applyBorder="1" applyAlignment="1" applyProtection="1">
      <alignment horizontal="center"/>
    </xf>
    <xf numFmtId="5" fontId="0" fillId="0" borderId="0" xfId="15" applyNumberFormat="1" applyFont="1" applyFill="1" applyBorder="1" applyAlignment="1" applyProtection="1">
      <alignment horizontal="right"/>
    </xf>
    <xf numFmtId="9" fontId="0" fillId="0" borderId="5" xfId="16" applyFont="1" applyBorder="1" applyProtection="1"/>
    <xf numFmtId="9" fontId="0" fillId="0" borderId="0" xfId="16" applyFont="1" applyBorder="1" applyProtection="1"/>
    <xf numFmtId="0" fontId="2" fillId="0" borderId="0" xfId="0" applyFont="1" applyAlignment="1">
      <alignment horizontal="right"/>
    </xf>
    <xf numFmtId="0" fontId="0" fillId="0" borderId="0" xfId="0" applyAlignment="1">
      <alignment horizontal="left"/>
    </xf>
    <xf numFmtId="5" fontId="21" fillId="0" borderId="0" xfId="15" applyNumberFormat="1" applyFont="1" applyFill="1" applyBorder="1" applyAlignment="1" applyProtection="1">
      <alignment horizontal="right" vertical="top"/>
    </xf>
    <xf numFmtId="5" fontId="6" fillId="0" borderId="0" xfId="15" applyNumberFormat="1" applyFont="1" applyFill="1" applyBorder="1" applyAlignment="1" applyProtection="1">
      <alignment horizontal="right" vertical="top"/>
    </xf>
    <xf numFmtId="5" fontId="21" fillId="0" borderId="0" xfId="15" applyNumberFormat="1" applyFont="1" applyFill="1" applyBorder="1" applyAlignment="1" applyProtection="1">
      <alignment horizontal="center" vertical="top" wrapText="1"/>
    </xf>
    <xf numFmtId="0" fontId="2" fillId="5" borderId="0" xfId="0" applyFont="1" applyFill="1"/>
    <xf numFmtId="0" fontId="0" fillId="5" borderId="0" xfId="0" applyFill="1"/>
    <xf numFmtId="0" fontId="2" fillId="2" borderId="0" xfId="0" applyFont="1" applyFill="1" applyAlignment="1">
      <alignment horizontal="center"/>
    </xf>
    <xf numFmtId="0" fontId="0" fillId="4" borderId="0" xfId="0" applyFill="1" applyAlignment="1">
      <alignment horizontal="center" wrapText="1"/>
    </xf>
    <xf numFmtId="0" fontId="0" fillId="8" borderId="0" xfId="0" applyFill="1" applyAlignment="1">
      <alignment horizontal="center"/>
    </xf>
    <xf numFmtId="0" fontId="27" fillId="0" borderId="0" xfId="0" applyFont="1" applyAlignment="1">
      <alignment vertical="top" wrapText="1"/>
    </xf>
    <xf numFmtId="0" fontId="25" fillId="0" borderId="0" xfId="0" applyFont="1" applyAlignment="1">
      <alignment wrapText="1"/>
    </xf>
    <xf numFmtId="169" fontId="0" fillId="12" borderId="0" xfId="16" applyNumberFormat="1" applyFont="1" applyFill="1" applyAlignment="1"/>
    <xf numFmtId="169" fontId="0" fillId="4" borderId="0" xfId="16" applyNumberFormat="1" applyFont="1" applyFill="1" applyAlignment="1"/>
    <xf numFmtId="169" fontId="2" fillId="4" borderId="7" xfId="16" applyNumberFormat="1" applyFont="1" applyFill="1" applyBorder="1"/>
    <xf numFmtId="169" fontId="2" fillId="4" borderId="11" xfId="16" applyNumberFormat="1" applyFont="1" applyFill="1" applyBorder="1"/>
    <xf numFmtId="169" fontId="0" fillId="0" borderId="0" xfId="16" applyNumberFormat="1" applyFont="1"/>
    <xf numFmtId="169" fontId="0" fillId="4" borderId="0" xfId="16" applyNumberFormat="1" applyFont="1" applyFill="1"/>
    <xf numFmtId="0" fontId="0" fillId="6" borderId="0" xfId="0" applyFill="1" applyAlignment="1">
      <alignment horizontal="center"/>
    </xf>
    <xf numFmtId="0" fontId="0" fillId="5" borderId="0" xfId="0" applyFill="1" applyAlignment="1">
      <alignment horizontal="center"/>
    </xf>
    <xf numFmtId="0" fontId="2" fillId="0" borderId="0" xfId="0" applyFont="1" applyAlignment="1">
      <alignment horizontal="left"/>
    </xf>
    <xf numFmtId="0" fontId="2" fillId="0" borderId="5" xfId="0" applyFont="1" applyBorder="1" applyAlignment="1">
      <alignment wrapText="1"/>
    </xf>
    <xf numFmtId="0" fontId="8" fillId="0" borderId="0" xfId="18" applyFont="1"/>
    <xf numFmtId="0" fontId="15" fillId="0" borderId="0" xfId="18"/>
    <xf numFmtId="0" fontId="8" fillId="0" borderId="0" xfId="18" quotePrefix="1" applyFont="1"/>
    <xf numFmtId="0" fontId="15" fillId="0" borderId="0" xfId="18" applyAlignment="1">
      <alignment horizontal="right"/>
    </xf>
    <xf numFmtId="0" fontId="13" fillId="5" borderId="6" xfId="18" applyFont="1" applyFill="1" applyBorder="1"/>
    <xf numFmtId="5" fontId="0" fillId="3" borderId="0" xfId="19" applyNumberFormat="1" applyFont="1" applyFill="1" applyProtection="1"/>
    <xf numFmtId="0" fontId="13" fillId="5" borderId="10" xfId="18" applyFont="1" applyFill="1" applyBorder="1"/>
    <xf numFmtId="5" fontId="0" fillId="0" borderId="0" xfId="19" applyNumberFormat="1" applyFont="1" applyFill="1" applyProtection="1"/>
    <xf numFmtId="0" fontId="13" fillId="0" borderId="0" xfId="18" applyFont="1"/>
    <xf numFmtId="5" fontId="12" fillId="4" borderId="0" xfId="19" applyNumberFormat="1" applyFont="1" applyFill="1" applyProtection="1"/>
    <xf numFmtId="5" fontId="1" fillId="4" borderId="0" xfId="18" applyNumberFormat="1" applyFont="1" applyFill="1"/>
    <xf numFmtId="0" fontId="9" fillId="4" borderId="1" xfId="18" applyFont="1" applyFill="1" applyBorder="1" applyAlignment="1">
      <alignment vertical="center"/>
    </xf>
    <xf numFmtId="0" fontId="15" fillId="4" borderId="2" xfId="18" applyFill="1" applyBorder="1"/>
    <xf numFmtId="0" fontId="15" fillId="4" borderId="3" xfId="18" applyFill="1" applyBorder="1"/>
    <xf numFmtId="165" fontId="0" fillId="4" borderId="8" xfId="17" applyNumberFormat="1" applyFont="1" applyFill="1" applyBorder="1" applyProtection="1"/>
    <xf numFmtId="0" fontId="15" fillId="4" borderId="0" xfId="18" applyFill="1"/>
    <xf numFmtId="0" fontId="15" fillId="4" borderId="9" xfId="18" applyFill="1" applyBorder="1"/>
    <xf numFmtId="165" fontId="2" fillId="4" borderId="8" xfId="19" applyNumberFormat="1" applyFont="1" applyFill="1" applyBorder="1" applyProtection="1"/>
    <xf numFmtId="0" fontId="9" fillId="4" borderId="0" xfId="18" applyFont="1" applyFill="1"/>
    <xf numFmtId="0" fontId="9" fillId="4" borderId="9" xfId="18" applyFont="1" applyFill="1" applyBorder="1"/>
    <xf numFmtId="165" fontId="0" fillId="4" borderId="8" xfId="19" applyNumberFormat="1" applyFont="1" applyFill="1" applyBorder="1" applyProtection="1"/>
    <xf numFmtId="165" fontId="9" fillId="4" borderId="8" xfId="18" applyNumberFormat="1" applyFont="1" applyFill="1" applyBorder="1"/>
    <xf numFmtId="165" fontId="15" fillId="4" borderId="8" xfId="18" applyNumberFormat="1" applyFill="1" applyBorder="1"/>
    <xf numFmtId="165" fontId="9" fillId="4" borderId="10" xfId="18" applyNumberFormat="1" applyFont="1" applyFill="1" applyBorder="1"/>
    <xf numFmtId="0" fontId="9" fillId="4" borderId="4" xfId="18" applyFont="1" applyFill="1" applyBorder="1"/>
    <xf numFmtId="0" fontId="9" fillId="4" borderId="11" xfId="18" applyFont="1" applyFill="1" applyBorder="1"/>
    <xf numFmtId="0" fontId="15" fillId="3" borderId="0" xfId="18" applyFill="1" applyAlignment="1">
      <alignment horizontal="center"/>
    </xf>
    <xf numFmtId="0" fontId="0" fillId="3" borderId="0" xfId="0" applyFill="1" applyProtection="1">
      <protection locked="0"/>
    </xf>
    <xf numFmtId="0" fontId="2" fillId="3" borderId="0" xfId="0" applyFont="1" applyFill="1" applyProtection="1">
      <protection locked="0"/>
    </xf>
    <xf numFmtId="169" fontId="0" fillId="3" borderId="0" xfId="16" applyNumberFormat="1" applyFont="1" applyFill="1" applyAlignment="1" applyProtection="1">
      <protection locked="0"/>
    </xf>
    <xf numFmtId="0" fontId="0" fillId="0" borderId="0" xfId="0" applyProtection="1">
      <protection locked="0"/>
    </xf>
    <xf numFmtId="0" fontId="0" fillId="3" borderId="0" xfId="0" applyFill="1" applyAlignment="1" applyProtection="1">
      <alignment horizontal="left"/>
      <protection locked="0"/>
    </xf>
    <xf numFmtId="39" fontId="0" fillId="3" borderId="0" xfId="0" applyNumberFormat="1" applyFill="1" applyProtection="1">
      <protection locked="0"/>
    </xf>
    <xf numFmtId="5" fontId="0" fillId="13" borderId="0" xfId="0" applyNumberFormat="1" applyFill="1" applyProtection="1">
      <protection locked="0"/>
    </xf>
    <xf numFmtId="0" fontId="0" fillId="3" borderId="5" xfId="0" applyFill="1" applyBorder="1" applyProtection="1">
      <protection locked="0"/>
    </xf>
    <xf numFmtId="14" fontId="0" fillId="3" borderId="5" xfId="0" applyNumberFormat="1" applyFill="1" applyBorder="1" applyProtection="1">
      <protection locked="0"/>
    </xf>
    <xf numFmtId="0" fontId="0" fillId="0" borderId="5" xfId="0" applyBorder="1" applyAlignment="1" applyProtection="1">
      <alignment horizontal="center"/>
      <protection locked="0"/>
    </xf>
    <xf numFmtId="0" fontId="0" fillId="0" borderId="5" xfId="0" applyBorder="1" applyProtection="1">
      <protection locked="0"/>
    </xf>
    <xf numFmtId="5" fontId="0" fillId="14" borderId="0" xfId="19" applyNumberFormat="1" applyFont="1" applyFill="1" applyProtection="1">
      <protection locked="0"/>
    </xf>
    <xf numFmtId="0" fontId="2" fillId="3" borderId="5" xfId="0" applyFont="1" applyFill="1" applyBorder="1" applyAlignment="1">
      <alignment horizontal="center"/>
    </xf>
    <xf numFmtId="5" fontId="0" fillId="5" borderId="5" xfId="15" applyNumberFormat="1" applyFont="1" applyFill="1" applyBorder="1" applyAlignment="1" applyProtection="1">
      <alignment horizontal="right"/>
    </xf>
    <xf numFmtId="166" fontId="2" fillId="13" borderId="0" xfId="21" applyNumberFormat="1" applyFont="1" applyFill="1" applyProtection="1">
      <protection locked="0"/>
    </xf>
    <xf numFmtId="7" fontId="15" fillId="0" borderId="0" xfId="18" applyNumberFormat="1"/>
    <xf numFmtId="0" fontId="28" fillId="12" borderId="0" xfId="18" applyFont="1" applyFill="1"/>
    <xf numFmtId="0" fontId="28" fillId="12" borderId="0" xfId="18" applyFont="1" applyFill="1" applyAlignment="1">
      <alignment horizontal="right"/>
    </xf>
    <xf numFmtId="10" fontId="12" fillId="12" borderId="0" xfId="20" applyNumberFormat="1" applyFont="1" applyFill="1" applyProtection="1"/>
    <xf numFmtId="43" fontId="0" fillId="12" borderId="0" xfId="21" applyFont="1" applyFill="1"/>
    <xf numFmtId="43" fontId="2" fillId="0" borderId="0" xfId="0" applyNumberFormat="1" applyFont="1"/>
    <xf numFmtId="43" fontId="0" fillId="0" borderId="0" xfId="0" applyNumberFormat="1"/>
    <xf numFmtId="170" fontId="0" fillId="3" borderId="5" xfId="0" applyNumberFormat="1" applyFill="1" applyBorder="1" applyProtection="1">
      <protection locked="0"/>
    </xf>
    <xf numFmtId="171" fontId="0" fillId="13" borderId="0" xfId="0" applyNumberFormat="1" applyFill="1"/>
    <xf numFmtId="4" fontId="0" fillId="7" borderId="0" xfId="0" applyNumberFormat="1" applyFill="1"/>
    <xf numFmtId="43" fontId="0" fillId="10" borderId="0" xfId="21" applyFont="1" applyFill="1" applyBorder="1" applyProtection="1"/>
    <xf numFmtId="43" fontId="12" fillId="10" borderId="5" xfId="21" applyFont="1" applyFill="1" applyBorder="1" applyProtection="1"/>
    <xf numFmtId="167" fontId="0" fillId="7" borderId="9" xfId="0" applyNumberFormat="1" applyFill="1" applyBorder="1"/>
    <xf numFmtId="39" fontId="0" fillId="7" borderId="9" xfId="0" applyNumberFormat="1" applyFill="1" applyBorder="1"/>
    <xf numFmtId="0" fontId="2" fillId="9" borderId="0" xfId="0" applyFont="1" applyFill="1" applyAlignment="1">
      <alignment horizontal="right"/>
    </xf>
    <xf numFmtId="166" fontId="0" fillId="9" borderId="0" xfId="21" applyNumberFormat="1" applyFont="1" applyFill="1" applyBorder="1" applyProtection="1"/>
    <xf numFmtId="43" fontId="0" fillId="9" borderId="0" xfId="21" applyFont="1" applyFill="1" applyBorder="1" applyProtection="1"/>
    <xf numFmtId="43" fontId="0" fillId="9" borderId="4" xfId="21" applyFont="1" applyFill="1" applyBorder="1" applyProtection="1"/>
    <xf numFmtId="39" fontId="0" fillId="6" borderId="9" xfId="0" applyNumberFormat="1" applyFill="1" applyBorder="1"/>
    <xf numFmtId="39" fontId="0" fillId="14" borderId="9" xfId="0" applyNumberFormat="1" applyFill="1" applyBorder="1" applyProtection="1">
      <protection locked="0"/>
    </xf>
    <xf numFmtId="0" fontId="0" fillId="14" borderId="9" xfId="0" applyFill="1" applyBorder="1" applyProtection="1">
      <protection locked="0"/>
    </xf>
    <xf numFmtId="37" fontId="0" fillId="15" borderId="9" xfId="0" applyNumberFormat="1" applyFill="1" applyBorder="1" applyProtection="1">
      <protection locked="0"/>
    </xf>
    <xf numFmtId="43" fontId="12" fillId="16" borderId="0" xfId="21" applyFont="1" applyFill="1" applyBorder="1" applyProtection="1">
      <protection locked="0"/>
    </xf>
    <xf numFmtId="43" fontId="0" fillId="16" borderId="0" xfId="21" applyFont="1" applyFill="1" applyBorder="1" applyProtection="1">
      <protection locked="0"/>
    </xf>
    <xf numFmtId="39" fontId="0" fillId="5" borderId="9" xfId="0" applyNumberFormat="1" applyFill="1" applyBorder="1" applyProtection="1">
      <protection locked="0"/>
    </xf>
    <xf numFmtId="164" fontId="0" fillId="5" borderId="9" xfId="0" applyNumberFormat="1" applyFill="1" applyBorder="1" applyProtection="1">
      <protection locked="0"/>
    </xf>
    <xf numFmtId="10" fontId="0" fillId="5" borderId="5" xfId="15" applyNumberFormat="1" applyFont="1" applyFill="1" applyBorder="1" applyAlignment="1" applyProtection="1">
      <alignment horizontal="right"/>
    </xf>
    <xf numFmtId="7" fontId="0" fillId="5" borderId="5" xfId="15" applyNumberFormat="1" applyFont="1" applyFill="1" applyBorder="1" applyAlignment="1" applyProtection="1">
      <alignment horizontal="right"/>
    </xf>
    <xf numFmtId="41" fontId="0" fillId="9" borderId="0" xfId="0" applyNumberFormat="1" applyFill="1"/>
    <xf numFmtId="0" fontId="2" fillId="12" borderId="0" xfId="0" applyFont="1" applyFill="1"/>
    <xf numFmtId="10" fontId="0" fillId="12" borderId="0" xfId="15" applyNumberFormat="1" applyFont="1" applyFill="1" applyBorder="1" applyAlignment="1" applyProtection="1">
      <alignment horizontal="right"/>
    </xf>
    <xf numFmtId="41" fontId="0" fillId="9" borderId="0" xfId="0" applyNumberFormat="1" applyFill="1" applyBorder="1"/>
    <xf numFmtId="3" fontId="0" fillId="9" borderId="4" xfId="0" applyNumberFormat="1" applyFill="1" applyBorder="1"/>
    <xf numFmtId="0" fontId="0" fillId="2" borderId="4" xfId="0" applyFill="1" applyBorder="1" applyAlignment="1" applyProtection="1">
      <alignment horizontal="center"/>
      <protection locked="0"/>
    </xf>
    <xf numFmtId="0" fontId="21" fillId="0" borderId="0" xfId="0" applyFont="1" applyAlignment="1">
      <alignment horizontal="right" vertical="center"/>
    </xf>
    <xf numFmtId="0" fontId="25" fillId="0" borderId="0" xfId="0" applyFont="1" applyAlignment="1">
      <alignment horizontal="left" vertical="top" wrapText="1"/>
    </xf>
    <xf numFmtId="5" fontId="7" fillId="5" borderId="0" xfId="15" applyNumberFormat="1" applyFont="1" applyFill="1" applyBorder="1" applyAlignment="1" applyProtection="1">
      <alignment horizontal="center" wrapText="1"/>
    </xf>
    <xf numFmtId="5" fontId="0" fillId="5" borderId="5" xfId="15" applyNumberFormat="1" applyFont="1" applyFill="1" applyBorder="1" applyAlignment="1" applyProtection="1">
      <alignment horizontal="right"/>
    </xf>
    <xf numFmtId="0" fontId="6" fillId="0" borderId="0" xfId="0" applyFont="1" applyAlignment="1">
      <alignment wrapText="1"/>
    </xf>
    <xf numFmtId="5" fontId="2" fillId="5" borderId="1" xfId="15" applyNumberFormat="1" applyFont="1" applyFill="1" applyBorder="1" applyAlignment="1">
      <alignment wrapText="1"/>
    </xf>
    <xf numFmtId="5" fontId="2" fillId="5" borderId="3" xfId="15" applyNumberFormat="1" applyFont="1" applyFill="1" applyBorder="1" applyAlignment="1">
      <alignment wrapText="1"/>
    </xf>
    <xf numFmtId="0" fontId="0" fillId="3" borderId="0" xfId="0" applyFill="1" applyProtection="1">
      <protection locked="0"/>
    </xf>
    <xf numFmtId="0" fontId="18" fillId="0" borderId="0" xfId="0" applyFont="1" applyAlignment="1">
      <alignment vertical="top"/>
    </xf>
    <xf numFmtId="0" fontId="0" fillId="4" borderId="0" xfId="0" applyFill="1" applyAlignment="1">
      <alignment horizontal="center"/>
    </xf>
    <xf numFmtId="0" fontId="0" fillId="3" borderId="1" xfId="0" applyFill="1" applyBorder="1"/>
    <xf numFmtId="0" fontId="0" fillId="3" borderId="2" xfId="0" applyFill="1" applyBorder="1"/>
    <xf numFmtId="0" fontId="0" fillId="3" borderId="3" xfId="0" applyFill="1" applyBorder="1"/>
    <xf numFmtId="5" fontId="7" fillId="0" borderId="4" xfId="15" applyNumberFormat="1" applyFont="1" applyFill="1" applyBorder="1" applyAlignment="1">
      <alignment horizontal="center" wrapText="1"/>
    </xf>
    <xf numFmtId="7" fontId="6" fillId="0" borderId="0" xfId="15" applyNumberFormat="1" applyFont="1" applyAlignment="1">
      <alignment horizontal="right"/>
    </xf>
    <xf numFmtId="5" fontId="0" fillId="4" borderId="1" xfId="15" applyNumberFormat="1" applyFont="1" applyFill="1" applyBorder="1" applyAlignment="1">
      <alignment horizontal="right"/>
    </xf>
    <xf numFmtId="5" fontId="0" fillId="4" borderId="3" xfId="15" applyNumberFormat="1" applyFont="1" applyFill="1" applyBorder="1" applyAlignment="1">
      <alignment horizontal="right"/>
    </xf>
    <xf numFmtId="0" fontId="0" fillId="3" borderId="1" xfId="0"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1" xfId="0" applyFill="1" applyBorder="1" applyAlignment="1">
      <alignment vertical="center"/>
    </xf>
    <xf numFmtId="0" fontId="0" fillId="3" borderId="3" xfId="0" applyFill="1" applyBorder="1" applyAlignment="1">
      <alignment vertical="center"/>
    </xf>
    <xf numFmtId="0" fontId="18" fillId="0" borderId="0" xfId="0" applyFont="1" applyAlignment="1">
      <alignment vertical="top" wrapText="1"/>
    </xf>
    <xf numFmtId="0" fontId="0" fillId="0" borderId="0" xfId="0" applyAlignment="1">
      <alignment vertical="top"/>
    </xf>
    <xf numFmtId="0" fontId="0" fillId="0" borderId="5" xfId="0" applyBorder="1" applyAlignment="1">
      <alignment wrapText="1"/>
    </xf>
    <xf numFmtId="0" fontId="0" fillId="0" borderId="4" xfId="0" applyBorder="1"/>
    <xf numFmtId="0" fontId="0" fillId="0" borderId="0" xfId="0"/>
    <xf numFmtId="0" fontId="16" fillId="0" borderId="0" xfId="18" applyFont="1" applyAlignment="1">
      <alignment horizontal="center" wrapText="1"/>
    </xf>
    <xf numFmtId="5" fontId="2" fillId="5" borderId="1" xfId="15" applyNumberFormat="1" applyFont="1" applyFill="1" applyBorder="1" applyAlignment="1" applyProtection="1">
      <alignment horizontal="left" wrapText="1"/>
    </xf>
    <xf numFmtId="5" fontId="2" fillId="5" borderId="3" xfId="15" applyNumberFormat="1" applyFont="1" applyFill="1" applyBorder="1" applyAlignment="1" applyProtection="1">
      <alignment horizontal="left" wrapText="1"/>
    </xf>
    <xf numFmtId="0" fontId="15" fillId="0" borderId="0" xfId="18" applyAlignment="1">
      <alignment horizontal="right" wrapText="1"/>
    </xf>
    <xf numFmtId="0" fontId="15" fillId="0" borderId="0" xfId="18" applyAlignment="1">
      <alignment horizontal="right"/>
    </xf>
    <xf numFmtId="0" fontId="6" fillId="0" borderId="4" xfId="0" applyFont="1" applyBorder="1" applyAlignment="1">
      <alignment wrapText="1"/>
    </xf>
  </cellXfs>
  <cellStyles count="27">
    <cellStyle name="Comma" xfId="21" builtinId="3"/>
    <cellStyle name="Comma 2" xfId="4" xr:uid="{00000000-0005-0000-0000-000001000000}"/>
    <cellStyle name="Comma 2 2" xfId="5" xr:uid="{00000000-0005-0000-0000-000002000000}"/>
    <cellStyle name="Comma 3" xfId="2" xr:uid="{00000000-0005-0000-0000-000003000000}"/>
    <cellStyle name="Comma 4" xfId="6" xr:uid="{00000000-0005-0000-0000-000004000000}"/>
    <cellStyle name="Comma 5" xfId="26" xr:uid="{00000000-0005-0000-0000-000005000000}"/>
    <cellStyle name="Currency" xfId="17" builtinId="4"/>
    <cellStyle name="Currency 2" xfId="1" xr:uid="{00000000-0005-0000-0000-000007000000}"/>
    <cellStyle name="Currency 2 2" xfId="7" xr:uid="{00000000-0005-0000-0000-000008000000}"/>
    <cellStyle name="Currency 3" xfId="8" xr:uid="{00000000-0005-0000-0000-000009000000}"/>
    <cellStyle name="Currency 4" xfId="15" xr:uid="{00000000-0005-0000-0000-00000A000000}"/>
    <cellStyle name="Currency 5" xfId="19" xr:uid="{00000000-0005-0000-0000-00000B000000}"/>
    <cellStyle name="Currency 6" xfId="25" xr:uid="{00000000-0005-0000-0000-00000C000000}"/>
    <cellStyle name="Normal" xfId="0" builtinId="0"/>
    <cellStyle name="Normal 2" xfId="9" xr:uid="{00000000-0005-0000-0000-00000E000000}"/>
    <cellStyle name="Normal 2 2" xfId="10" xr:uid="{00000000-0005-0000-0000-00000F000000}"/>
    <cellStyle name="Normal 3" xfId="11" xr:uid="{00000000-0005-0000-0000-000010000000}"/>
    <cellStyle name="Normal 4" xfId="12" xr:uid="{00000000-0005-0000-0000-000011000000}"/>
    <cellStyle name="Normal 5" xfId="18" xr:uid="{00000000-0005-0000-0000-000012000000}"/>
    <cellStyle name="Normal 6" xfId="23" xr:uid="{00000000-0005-0000-0000-000013000000}"/>
    <cellStyle name="Normal 7" xfId="22" xr:uid="{00000000-0005-0000-0000-000014000000}"/>
    <cellStyle name="Percent" xfId="16" builtinId="5"/>
    <cellStyle name="Percent 2" xfId="3" xr:uid="{00000000-0005-0000-0000-000016000000}"/>
    <cellStyle name="Percent 2 2" xfId="13" xr:uid="{00000000-0005-0000-0000-000017000000}"/>
    <cellStyle name="Percent 3" xfId="14" xr:uid="{00000000-0005-0000-0000-000018000000}"/>
    <cellStyle name="Percent 4" xfId="20" xr:uid="{00000000-0005-0000-0000-000019000000}"/>
    <cellStyle name="Percent 5" xfId="24" xr:uid="{00000000-0005-0000-0000-00001A000000}"/>
  </cellStyles>
  <dxfs count="5">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FFCC"/>
      <color rgb="FFEEC8C8"/>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s://ucsd.kualibuild.com/app/657391b432976c013bad16bc/run"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1</xdr:row>
      <xdr:rowOff>123824</xdr:rowOff>
    </xdr:from>
    <xdr:to>
      <xdr:col>27</xdr:col>
      <xdr:colOff>0</xdr:colOff>
      <xdr:row>29</xdr:row>
      <xdr:rowOff>133349</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12658725" y="352424"/>
          <a:ext cx="3657600" cy="524827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INSTRUCTIONS</a:t>
          </a:r>
        </a:p>
        <a:p>
          <a:endParaRPr lang="en-US" sz="1100"/>
        </a:p>
        <a:p>
          <a:r>
            <a:rPr lang="en-US" sz="1100"/>
            <a:t>Please enter data</a:t>
          </a:r>
          <a:r>
            <a:rPr lang="en-US" sz="1100" baseline="0"/>
            <a:t> in the fields.  </a:t>
          </a:r>
          <a:r>
            <a:rPr lang="en-US" sz="1100"/>
            <a:t>Values</a:t>
          </a:r>
          <a:r>
            <a:rPr lang="en-US" sz="1100" baseline="0"/>
            <a:t> will copy over to the salary worksheets.</a:t>
          </a:r>
        </a:p>
        <a:p>
          <a:endParaRPr lang="en-US" sz="1100" baseline="0"/>
        </a:p>
        <a:p>
          <a:r>
            <a:rPr lang="en-US" sz="1100" baseline="0">
              <a:solidFill>
                <a:schemeClr val="dk1"/>
              </a:solidFill>
              <a:effectLst/>
              <a:latin typeface="+mn-lt"/>
              <a:ea typeface="+mn-ea"/>
              <a:cs typeface="+mn-cs"/>
            </a:rPr>
            <a:t>APS will no longer review funding worksheets. School Dean's Offices are responsible for worksheet review and verification that an application meets program guidelines and restrictions on eligible fund use.  Please contact your Dean's office with questions.</a:t>
          </a:r>
        </a:p>
        <a:p>
          <a:endParaRPr lang="en-US">
            <a:effectLst/>
          </a:endParaRPr>
        </a:p>
        <a:p>
          <a:r>
            <a:rPr lang="en-US" sz="1100" baseline="0"/>
            <a:t>NEW: Once worksheets are complete use the information to fill out your appointee's NSP application in Kuali Build.</a:t>
          </a:r>
        </a:p>
        <a:p>
          <a:endParaRPr lang="en-US" sz="1100" baseline="0"/>
        </a:p>
        <a:p>
          <a:r>
            <a:rPr lang="en-US" sz="1100" baseline="0"/>
            <a:t>https://ucsd.kualibuild.com/app/657391b432976c013bad16bc/run	</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Both provisional* and final NSP approval letters will be uploaded into Kuali Build for FY 2025-2026 applicants.</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*When a review decision has been finalized, a copy of the final action letter must be uploaded to Kuali Build to request the final NSP approval letter. If the proposed line differs from what was listed on the original application due to a modified review outcome, an updated spreadsheet must also be uploaded.</a:t>
          </a:r>
        </a:p>
        <a:p>
          <a:endParaRPr lang="en-US">
            <a:effectLst/>
          </a:endParaRPr>
        </a:p>
        <a:p>
          <a:endParaRPr lang="en-US" sz="1100" baseline="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18</xdr:col>
      <xdr:colOff>12701</xdr:colOff>
      <xdr:row>2</xdr:row>
      <xdr:rowOff>9525</xdr:rowOff>
    </xdr:from>
    <xdr:to>
      <xdr:col>21</xdr:col>
      <xdr:colOff>878875</xdr:colOff>
      <xdr:row>11</xdr:row>
      <xdr:rowOff>69177</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010901" y="504825"/>
          <a:ext cx="3962399" cy="166687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INSTRUCTIONS</a:t>
          </a:r>
        </a:p>
        <a:p>
          <a:endParaRPr lang="en-US" sz="1100"/>
        </a:p>
        <a:p>
          <a:r>
            <a:rPr lang="en-US" sz="1100"/>
            <a:t>Please enter data in  field</a:t>
          </a:r>
          <a:r>
            <a:rPr lang="en-US" sz="1100" baseline="0"/>
            <a:t>s/cells highlighted in yellow.  </a:t>
          </a:r>
        </a:p>
        <a:p>
          <a:endParaRPr lang="en-US" sz="1100" baseline="0"/>
        </a:p>
        <a:p>
          <a:r>
            <a:rPr lang="en-US" sz="1100" baseline="0"/>
            <a:t>Field/Cells in gray or white are calculated.    Please do not make changes unless you would like to override formulas.  If you do override formulas, please cross-check all values to ensure accuracy.</a:t>
          </a:r>
        </a:p>
        <a:p>
          <a:endParaRPr lang="en-US" sz="1100" baseline="0"/>
        </a:p>
        <a:p>
          <a:endParaRPr lang="en-US" sz="1100" baseline="0"/>
        </a:p>
      </xdr:txBody>
    </xdr:sp>
    <xdr:clientData fPrintsWithSheet="0"/>
  </xdr:twoCellAnchor>
  <xdr:twoCellAnchor editAs="oneCell">
    <xdr:from>
      <xdr:col>18</xdr:col>
      <xdr:colOff>12701</xdr:colOff>
      <xdr:row>2</xdr:row>
      <xdr:rowOff>9525</xdr:rowOff>
    </xdr:from>
    <xdr:to>
      <xdr:col>21</xdr:col>
      <xdr:colOff>878876</xdr:colOff>
      <xdr:row>11</xdr:row>
      <xdr:rowOff>69177</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11356976" y="495300"/>
          <a:ext cx="3949698" cy="1647264"/>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INSTRUCTIONS</a:t>
          </a:r>
        </a:p>
        <a:p>
          <a:endParaRPr lang="en-US" sz="1100"/>
        </a:p>
        <a:p>
          <a:r>
            <a:rPr lang="en-US" sz="1100"/>
            <a:t>Please enter data in  field</a:t>
          </a:r>
          <a:r>
            <a:rPr lang="en-US" sz="1100" baseline="0"/>
            <a:t>s/cells highlighted in yellow.  </a:t>
          </a:r>
        </a:p>
        <a:p>
          <a:endParaRPr lang="en-US" sz="1100" baseline="0"/>
        </a:p>
        <a:p>
          <a:r>
            <a:rPr lang="en-US" sz="1100" baseline="0"/>
            <a:t>Field/Cells in gray or white are calculated.  Please do not make changes unless you would like to override formulas.  If you do override formulas, please cross-check all values to ensure accuracy. </a:t>
          </a:r>
        </a:p>
        <a:p>
          <a:endParaRPr lang="en-US" sz="1100" baseline="0"/>
        </a:p>
        <a:p>
          <a:endParaRPr lang="en-US" sz="1100" baseline="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16</xdr:row>
      <xdr:rowOff>0</xdr:rowOff>
    </xdr:from>
    <xdr:to>
      <xdr:col>4</xdr:col>
      <xdr:colOff>476250</xdr:colOff>
      <xdr:row>22</xdr:row>
      <xdr:rowOff>47625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238250" y="3048000"/>
          <a:ext cx="4171950" cy="119062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a:t>
          </a:r>
          <a:r>
            <a:rPr lang="en-US" sz="1100" baseline="0"/>
            <a:t> worksheet will be hidden in final version.</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44450</xdr:colOff>
      <xdr:row>0</xdr:row>
      <xdr:rowOff>146049</xdr:rowOff>
    </xdr:from>
    <xdr:to>
      <xdr:col>19</xdr:col>
      <xdr:colOff>25400</xdr:colOff>
      <xdr:row>10</xdr:row>
      <xdr:rowOff>139700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909050" y="146049"/>
          <a:ext cx="5695950" cy="183515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COMPLETING</a:t>
          </a:r>
          <a:r>
            <a:rPr lang="en-US" sz="1400" b="1" baseline="0"/>
            <a:t> THIS SHEET IS OPTIONAL!</a:t>
          </a:r>
          <a:endParaRPr lang="en-US" sz="1400" b="1"/>
        </a:p>
        <a:p>
          <a:endParaRPr lang="en-US" sz="1200"/>
        </a:p>
        <a:p>
          <a:r>
            <a:rPr lang="en-US" sz="1200"/>
            <a:t>This sheet</a:t>
          </a:r>
          <a:r>
            <a:rPr lang="en-US" sz="1200" baseline="0"/>
            <a:t> shows a different way to work out percentages of time for various fund sources. If you enter the Salary Category, % Time, Start Date and End Date, the salary will be calculated for each month. For the purposes of this worksheet, enter REG if not capped and NXX if subject to salary cap. Note that NXX is not used in UCPath and is used here only for calculation purposes! Only REG and NNC are used in UCPath for NSP. The salary cap may be reflected on REG or NNC in UCPath Fund Entry/MCOP Salary Worksheet.</a:t>
          </a:r>
          <a:endParaRPr lang="en-US" sz="1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esource\Academic%20Salary\NegotiatedSalaryProgram\SFSW_311_MUOTRI,%20ALYSSON%20R_602367.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xt FY"/>
      <sheetName val="This FY"/>
      <sheetName val="EID"/>
      <sheetName val="2011-2012"/>
      <sheetName val="VA"/>
      <sheetName val="Benefits"/>
      <sheetName val="SEED"/>
      <sheetName val="2012-2013"/>
      <sheetName val="Actual Benefits"/>
      <sheetName val="Lookups"/>
      <sheetName val="Worksheet"/>
      <sheetName val="Salary Structure - Calculations"/>
      <sheetName val="PPS Calculations"/>
      <sheetName val="Proposed Blended Rate"/>
      <sheetName val="Budget Report"/>
      <sheetName val="PPS Report"/>
      <sheetName val="Salpro Implementation"/>
      <sheetName val="PPS Implementation"/>
      <sheetName val="PPS Worksheet"/>
      <sheetName val="Data"/>
      <sheetName val="Data (PPS)"/>
      <sheetName val="Funding Summary"/>
      <sheetName val="Funding"/>
      <sheetName val="PPS Info"/>
      <sheetName val="Employee"/>
      <sheetName val="Salary"/>
      <sheetName val="Pyr Title"/>
      <sheetName val="SFSW_311_MUOTRI, ALYSSON R_6023"/>
      <sheetName val="DropDown"/>
    </sheetNames>
    <sheetDataSet>
      <sheetData sheetId="0" refreshError="1"/>
      <sheetData sheetId="1" refreshError="1"/>
      <sheetData sheetId="2" refreshError="1"/>
      <sheetData sheetId="3" refreshError="1"/>
      <sheetData sheetId="4" refreshError="1"/>
      <sheetData sheetId="5" refreshError="1"/>
      <sheetData sheetId="6">
        <row r="1">
          <cell r="A1" t="str">
            <v>#</v>
          </cell>
        </row>
      </sheetData>
      <sheetData sheetId="7">
        <row r="1">
          <cell r="A1" t="str">
            <v>ID</v>
          </cell>
        </row>
      </sheetData>
      <sheetData sheetId="8">
        <row r="1">
          <cell r="A1" t="str">
            <v>ID</v>
          </cell>
        </row>
      </sheetData>
      <sheetData sheetId="9">
        <row r="2">
          <cell r="E2">
            <v>125000</v>
          </cell>
          <cell r="M2" t="str">
            <v>ANESTHESIOLOGY</v>
          </cell>
          <cell r="N2" t="str">
            <v>ANS</v>
          </cell>
          <cell r="AD2" t="str">
            <v>1 Gen Funds, Perm-19900</v>
          </cell>
          <cell r="AX2" t="str">
            <v>Assistant Professor</v>
          </cell>
          <cell r="AY2" t="str">
            <v>AsstProf</v>
          </cell>
          <cell r="AZ2" t="str">
            <v>I</v>
          </cell>
          <cell r="BB2" t="str">
            <v>Adj</v>
          </cell>
          <cell r="BF2" t="str">
            <v>ANE001</v>
          </cell>
          <cell r="BJ2" t="str">
            <v>N/A</v>
          </cell>
          <cell r="BM2" t="str">
            <v>Step 1</v>
          </cell>
          <cell r="BR2" t="str">
            <v>Regular           </v>
          </cell>
        </row>
        <row r="3">
          <cell r="E3">
            <v>125900</v>
          </cell>
          <cell r="M3" t="str">
            <v>CELL - MOL MED PROG</v>
          </cell>
          <cell r="N3" t="str">
            <v>CMM</v>
          </cell>
          <cell r="AD3" t="str">
            <v>2 Salary Savings-19900 Research</v>
          </cell>
          <cell r="AX3" t="str">
            <v>Assistant Professor</v>
          </cell>
          <cell r="AY3" t="str">
            <v>AsstProf</v>
          </cell>
          <cell r="AZ3" t="str">
            <v>II</v>
          </cell>
          <cell r="BB3" t="str">
            <v>Clin</v>
          </cell>
          <cell r="BF3" t="str">
            <v>ANEGCP</v>
          </cell>
          <cell r="BJ3" t="str">
            <v>Other Physician Specialty</v>
          </cell>
          <cell r="BM3" t="str">
            <v>Step 2</v>
          </cell>
          <cell r="BR3" t="str">
            <v>Bonus             </v>
          </cell>
        </row>
        <row r="4">
          <cell r="E4">
            <v>130200</v>
          </cell>
          <cell r="M4" t="str">
            <v>MEDSCH/EMERG MED SVC</v>
          </cell>
          <cell r="N4" t="str">
            <v>EMS</v>
          </cell>
          <cell r="AD4" t="str">
            <v>3 Salary Savings-19900</v>
          </cell>
          <cell r="AX4" t="str">
            <v>Assistant Professor</v>
          </cell>
          <cell r="AY4" t="str">
            <v>AsstProf</v>
          </cell>
          <cell r="AZ4" t="str">
            <v>III</v>
          </cell>
          <cell r="BB4" t="str">
            <v>Clin/X</v>
          </cell>
          <cell r="BF4" t="str">
            <v>CMM001</v>
          </cell>
          <cell r="BJ4" t="str">
            <v>Ambulatory Gynecology</v>
          </cell>
          <cell r="BM4" t="str">
            <v>Step 3</v>
          </cell>
          <cell r="BR4" t="str">
            <v>Guaranteed        </v>
          </cell>
        </row>
        <row r="5">
          <cell r="E5">
            <v>136700</v>
          </cell>
          <cell r="M5" t="str">
            <v>FAMILY - PREVENTIVE MEDICINE</v>
          </cell>
          <cell r="N5" t="str">
            <v>CFM</v>
          </cell>
          <cell r="AD5" t="str">
            <v>19 Other-Non SOM</v>
          </cell>
          <cell r="AX5" t="str">
            <v>Assistant Professor</v>
          </cell>
          <cell r="AY5" t="str">
            <v>AsstProf</v>
          </cell>
          <cell r="AZ5" t="str">
            <v>IV</v>
          </cell>
          <cell r="BB5" t="str">
            <v>FTE</v>
          </cell>
          <cell r="BF5" t="str">
            <v>EMS001</v>
          </cell>
          <cell r="BJ5" t="str">
            <v>Psychology</v>
          </cell>
          <cell r="BM5" t="str">
            <v>Step 4</v>
          </cell>
          <cell r="BR5" t="str">
            <v>Consult           </v>
          </cell>
        </row>
        <row r="6">
          <cell r="E6">
            <v>141300</v>
          </cell>
          <cell r="M6" t="str">
            <v>MEDICINE</v>
          </cell>
          <cell r="N6" t="str">
            <v>MED</v>
          </cell>
          <cell r="AD6" t="str">
            <v>23 Dean's Office Salary Savings</v>
          </cell>
          <cell r="AX6" t="str">
            <v>Assistant Professor</v>
          </cell>
          <cell r="AY6" t="str">
            <v>AsstProf</v>
          </cell>
          <cell r="AZ6" t="str">
            <v>V</v>
          </cell>
          <cell r="BB6" t="str">
            <v>IR</v>
          </cell>
          <cell r="BF6" t="str">
            <v>EMS002</v>
          </cell>
          <cell r="BJ6" t="str">
            <v>Midlevel Providers</v>
          </cell>
          <cell r="BM6" t="str">
            <v>Step 5</v>
          </cell>
          <cell r="BR6" t="str">
            <v>Clinical Risk     </v>
          </cell>
        </row>
        <row r="7">
          <cell r="E7">
            <v>145100</v>
          </cell>
          <cell r="M7" t="str">
            <v>NEUROSCIENCES</v>
          </cell>
          <cell r="N7" t="str">
            <v>NEU</v>
          </cell>
          <cell r="AD7" t="str">
            <v>30 HHMI</v>
          </cell>
          <cell r="AX7" t="str">
            <v>Assistant Professor</v>
          </cell>
          <cell r="AY7" t="str">
            <v>AsstProf</v>
          </cell>
          <cell r="AZ7" t="str">
            <v>VI</v>
          </cell>
          <cell r="BF7" t="str">
            <v>EMS003</v>
          </cell>
          <cell r="BJ7" t="str">
            <v>Podiatry</v>
          </cell>
          <cell r="BM7" t="str">
            <v>Step 6</v>
          </cell>
          <cell r="BR7" t="str">
            <v>ASC               </v>
          </cell>
        </row>
        <row r="8">
          <cell r="E8">
            <v>157000</v>
          </cell>
          <cell r="M8" t="str">
            <v>OPHTHALMOLOGY</v>
          </cell>
          <cell r="N8" t="str">
            <v>OPH</v>
          </cell>
          <cell r="AD8" t="str">
            <v>31 Ludwig</v>
          </cell>
          <cell r="AX8" t="str">
            <v>Assistant Professor</v>
          </cell>
          <cell r="AY8" t="str">
            <v>AsstProf</v>
          </cell>
          <cell r="AZ8" t="str">
            <v>OS</v>
          </cell>
          <cell r="BF8" t="str">
            <v>FPM001</v>
          </cell>
          <cell r="BJ8" t="str">
            <v>Audiology</v>
          </cell>
          <cell r="BM8" t="str">
            <v>Step 7</v>
          </cell>
          <cell r="BR8" t="str">
            <v>CSA               </v>
          </cell>
        </row>
        <row r="9">
          <cell r="E9">
            <v>161200</v>
          </cell>
          <cell r="M9" t="str">
            <v>ORTHOPAEDIC SURGERY</v>
          </cell>
          <cell r="N9" t="str">
            <v>ORT</v>
          </cell>
          <cell r="AD9" t="str">
            <v>35 Other SOM - Teaching</v>
          </cell>
          <cell r="AX9" t="str">
            <v>Associate Professor</v>
          </cell>
          <cell r="AY9" t="str">
            <v>AssocProf</v>
          </cell>
          <cell r="AZ9" t="str">
            <v>I</v>
          </cell>
          <cell r="BF9" t="str">
            <v>FPM002</v>
          </cell>
          <cell r="BJ9" t="str">
            <v>Family Medicine (with OB)</v>
          </cell>
          <cell r="BM9" t="str">
            <v>Step 8</v>
          </cell>
          <cell r="BR9" t="str">
            <v>Prior Year         </v>
          </cell>
        </row>
        <row r="10">
          <cell r="E10">
            <v>166670</v>
          </cell>
          <cell r="M10" t="str">
            <v>PATHOLOGY</v>
          </cell>
          <cell r="N10" t="str">
            <v>PTH</v>
          </cell>
          <cell r="AD10" t="str">
            <v>7 C&amp;G NIH</v>
          </cell>
          <cell r="AX10" t="str">
            <v>Associate Professor</v>
          </cell>
          <cell r="AY10" t="str">
            <v>AssocProf</v>
          </cell>
          <cell r="AZ10" t="str">
            <v>II</v>
          </cell>
          <cell r="BF10" t="str">
            <v>FPM003</v>
          </cell>
          <cell r="BJ10" t="str">
            <v>Family Medicine (without OB)</v>
          </cell>
          <cell r="BM10" t="str">
            <v>Step 9</v>
          </cell>
          <cell r="BR10" t="str">
            <v>Other             </v>
          </cell>
        </row>
        <row r="11">
          <cell r="E11">
            <v>171900</v>
          </cell>
          <cell r="M11" t="str">
            <v>PEDIATRICS</v>
          </cell>
          <cell r="N11" t="str">
            <v>PED</v>
          </cell>
          <cell r="AD11" t="str">
            <v>8 C&amp;G Non Federal</v>
          </cell>
          <cell r="AX11" t="str">
            <v>Associate Professor</v>
          </cell>
          <cell r="AY11" t="str">
            <v>AssocProf</v>
          </cell>
          <cell r="AZ11" t="str">
            <v>III</v>
          </cell>
          <cell r="BF11" t="str">
            <v>FPM004</v>
          </cell>
          <cell r="BJ11" t="str">
            <v>Allergy / Immunology</v>
          </cell>
          <cell r="BM11" t="str">
            <v>Step 10</v>
          </cell>
          <cell r="BR11" t="str">
            <v>Primary Care      </v>
          </cell>
        </row>
        <row r="12">
          <cell r="E12">
            <v>174500</v>
          </cell>
          <cell r="M12" t="str">
            <v>PHARMACOLOGY</v>
          </cell>
          <cell r="N12" t="str">
            <v>PHR</v>
          </cell>
          <cell r="AD12" t="str">
            <v>9 C&amp;G Other Federal</v>
          </cell>
          <cell r="AX12" t="str">
            <v>Associate Professor</v>
          </cell>
          <cell r="AY12" t="str">
            <v>AssocProf</v>
          </cell>
          <cell r="AZ12" t="str">
            <v>IV</v>
          </cell>
          <cell r="BF12" t="str">
            <v>FPM005</v>
          </cell>
          <cell r="BJ12" t="str">
            <v>Bone Marrow Transplant</v>
          </cell>
          <cell r="BM12" t="str">
            <v>Step 11</v>
          </cell>
          <cell r="BR12" t="str">
            <v>Extra Coverage    </v>
          </cell>
        </row>
        <row r="13">
          <cell r="E13">
            <v>175700</v>
          </cell>
          <cell r="M13" t="str">
            <v>PSYCHIATRY</v>
          </cell>
          <cell r="N13" t="str">
            <v>PST</v>
          </cell>
          <cell r="AD13" t="str">
            <v>11 VMRF</v>
          </cell>
          <cell r="AX13" t="str">
            <v>Associate Professor</v>
          </cell>
          <cell r="AY13" t="str">
            <v>AssocProf</v>
          </cell>
          <cell r="AZ13" t="str">
            <v>V</v>
          </cell>
          <cell r="BF13" t="str">
            <v>MED026</v>
          </cell>
          <cell r="BJ13" t="str">
            <v>Dermatology</v>
          </cell>
          <cell r="BM13" t="str">
            <v>Step 12</v>
          </cell>
          <cell r="BR13" t="str">
            <v>ACC Incentive     </v>
          </cell>
        </row>
        <row r="14">
          <cell r="E14">
            <v>180100</v>
          </cell>
          <cell r="M14" t="str">
            <v>RADIATION MED - APPLIED SCI</v>
          </cell>
          <cell r="N14" t="str">
            <v>RADONC</v>
          </cell>
          <cell r="AD14" t="str">
            <v>12 Children's Agreement</v>
          </cell>
          <cell r="AX14" t="str">
            <v>Associate Professor</v>
          </cell>
          <cell r="AY14" t="str">
            <v>AssocProf</v>
          </cell>
          <cell r="AZ14" t="str">
            <v>OS</v>
          </cell>
          <cell r="BF14" t="str">
            <v>MED028</v>
          </cell>
          <cell r="BJ14" t="str">
            <v>MOHS Surgery</v>
          </cell>
          <cell r="BM14" t="str">
            <v>Step 13</v>
          </cell>
          <cell r="BR14" t="str">
            <v>Chair Incentive   </v>
          </cell>
        </row>
        <row r="15">
          <cell r="E15">
            <v>183500</v>
          </cell>
          <cell r="M15" t="str">
            <v>RADIOLOGY</v>
          </cell>
          <cell r="N15" t="str">
            <v>RAD</v>
          </cell>
          <cell r="AD15" t="str">
            <v>13 Non Clinical Service Agmts</v>
          </cell>
          <cell r="AX15" t="str">
            <v>Professor</v>
          </cell>
          <cell r="AY15" t="str">
            <v>Prof</v>
          </cell>
          <cell r="AZ15" t="str">
            <v>I</v>
          </cell>
          <cell r="BF15" t="str">
            <v>MED029</v>
          </cell>
          <cell r="BJ15" t="str">
            <v>Endocrinology / Metabolism</v>
          </cell>
          <cell r="BM15" t="str">
            <v>Step 14</v>
          </cell>
          <cell r="BR15" t="str">
            <v>Signing Bonus     </v>
          </cell>
        </row>
        <row r="16">
          <cell r="E16">
            <v>186600</v>
          </cell>
          <cell r="M16" t="str">
            <v>DEP. OF REPRODUCTIVE MEDICINE</v>
          </cell>
          <cell r="N16" t="str">
            <v>RPR</v>
          </cell>
          <cell r="AD16" t="str">
            <v>19 Other-Non SOM</v>
          </cell>
          <cell r="AX16" t="str">
            <v>Professor</v>
          </cell>
          <cell r="AY16" t="str">
            <v>Prof</v>
          </cell>
          <cell r="AZ16" t="str">
            <v>II</v>
          </cell>
          <cell r="BF16" t="str">
            <v>MED031</v>
          </cell>
          <cell r="BJ16" t="str">
            <v>Gastroenterology</v>
          </cell>
          <cell r="BM16" t="str">
            <v>Step 15</v>
          </cell>
          <cell r="BR16" t="str">
            <v>Teaching Incentive</v>
          </cell>
        </row>
        <row r="17">
          <cell r="E17">
            <v>191300</v>
          </cell>
          <cell r="M17" t="str">
            <v>School of Pharmacy</v>
          </cell>
          <cell r="N17" t="str">
            <v>SOP</v>
          </cell>
          <cell r="AD17" t="str">
            <v>20 Other Academic Activity</v>
          </cell>
          <cell r="AX17" t="str">
            <v>Professor</v>
          </cell>
          <cell r="AY17" t="str">
            <v>Prof</v>
          </cell>
          <cell r="AZ17" t="str">
            <v>III</v>
          </cell>
          <cell r="BF17" t="str">
            <v>MED032</v>
          </cell>
          <cell r="BJ17" t="str">
            <v>Geriatrics</v>
          </cell>
          <cell r="BM17" t="str">
            <v>GS 1/1</v>
          </cell>
          <cell r="BR17" t="str">
            <v>Relocation        </v>
          </cell>
        </row>
        <row r="18">
          <cell r="E18">
            <v>196700</v>
          </cell>
          <cell r="M18" t="str">
            <v>SURGERY</v>
          </cell>
          <cell r="N18" t="str">
            <v>SUR</v>
          </cell>
          <cell r="AD18" t="str">
            <v>23 Dean's Office Salary Savings</v>
          </cell>
          <cell r="AX18" t="str">
            <v>Professor</v>
          </cell>
          <cell r="AY18" t="str">
            <v>Prof</v>
          </cell>
          <cell r="AZ18" t="str">
            <v>IV</v>
          </cell>
          <cell r="BF18" t="str">
            <v>MED035</v>
          </cell>
          <cell r="BJ18" t="str">
            <v>Infectious Disease</v>
          </cell>
          <cell r="BM18" t="str">
            <v>GS 1/2</v>
          </cell>
          <cell r="BR18" t="str">
            <v>On-Call           </v>
          </cell>
        </row>
        <row r="19">
          <cell r="E19">
            <v>199700</v>
          </cell>
          <cell r="AD19" t="str">
            <v>30 HHMI</v>
          </cell>
          <cell r="AX19" t="str">
            <v>Professor</v>
          </cell>
          <cell r="AY19" t="str">
            <v>Prof</v>
          </cell>
          <cell r="AZ19" t="str">
            <v>V</v>
          </cell>
          <cell r="BF19" t="str">
            <v>MED041</v>
          </cell>
          <cell r="BJ19" t="str">
            <v>General Internal Medicine</v>
          </cell>
          <cell r="BM19" t="str">
            <v>GS 1/3</v>
          </cell>
          <cell r="BR19" t="str">
            <v>Salary Maintenance</v>
          </cell>
        </row>
        <row r="20">
          <cell r="E20">
            <v>179700</v>
          </cell>
          <cell r="AD20" t="str">
            <v>31 Ludwig</v>
          </cell>
          <cell r="AX20" t="str">
            <v>Professor</v>
          </cell>
          <cell r="AY20" t="str">
            <v>Prof</v>
          </cell>
          <cell r="AZ20" t="str">
            <v>VI</v>
          </cell>
          <cell r="BF20" t="str">
            <v>MED042</v>
          </cell>
          <cell r="BJ20" t="str">
            <v>Hepatology</v>
          </cell>
          <cell r="BM20" t="str">
            <v>GS 1/4</v>
          </cell>
        </row>
        <row r="21">
          <cell r="AD21" t="str">
            <v>37 Other SOM - Research</v>
          </cell>
          <cell r="AX21" t="str">
            <v>Professor</v>
          </cell>
          <cell r="AY21" t="str">
            <v>Prof</v>
          </cell>
          <cell r="AZ21" t="str">
            <v>VII</v>
          </cell>
          <cell r="BF21" t="str">
            <v>MED043</v>
          </cell>
          <cell r="BJ21" t="str">
            <v>Nephrology</v>
          </cell>
          <cell r="BM21" t="str">
            <v>GS 1/5</v>
          </cell>
        </row>
        <row r="22">
          <cell r="AD22" t="str">
            <v>4 Current Clinical Funds</v>
          </cell>
          <cell r="AX22" t="str">
            <v>Professor</v>
          </cell>
          <cell r="AY22" t="str">
            <v>Prof</v>
          </cell>
          <cell r="AZ22" t="str">
            <v>VIII</v>
          </cell>
          <cell r="BF22" t="str">
            <v>MED044</v>
          </cell>
          <cell r="BJ22" t="str">
            <v>Occupational Medicine</v>
          </cell>
          <cell r="BM22" t="str">
            <v>GS 1/6</v>
          </cell>
        </row>
        <row r="23">
          <cell r="AD23" t="str">
            <v>5 Committed Reserves</v>
          </cell>
          <cell r="AX23" t="str">
            <v>Professor</v>
          </cell>
          <cell r="AY23" t="str">
            <v>Prof</v>
          </cell>
          <cell r="AZ23" t="str">
            <v>IX</v>
          </cell>
          <cell r="BF23" t="str">
            <v>MED045</v>
          </cell>
          <cell r="BJ23" t="str">
            <v>Physical Medicine</v>
          </cell>
          <cell r="BM23" t="str">
            <v>GS 1/7</v>
          </cell>
        </row>
        <row r="24">
          <cell r="AD24" t="str">
            <v>6 Clinical Trial</v>
          </cell>
          <cell r="AX24" t="str">
            <v>Professor</v>
          </cell>
          <cell r="AY24" t="str">
            <v>Prof</v>
          </cell>
          <cell r="AZ24" t="str">
            <v>OS</v>
          </cell>
          <cell r="BF24" t="str">
            <v>MED046</v>
          </cell>
          <cell r="BJ24" t="str">
            <v>Hematology</v>
          </cell>
          <cell r="BM24" t="str">
            <v>GS 1/8</v>
          </cell>
        </row>
        <row r="25">
          <cell r="AD25" t="str">
            <v>15 ASC-Expense</v>
          </cell>
          <cell r="AX25" t="str">
            <v>Professor</v>
          </cell>
          <cell r="AY25" t="str">
            <v>Prof</v>
          </cell>
          <cell r="AZ25" t="str">
            <v>AS</v>
          </cell>
          <cell r="BF25" t="str">
            <v>MED047</v>
          </cell>
          <cell r="BJ25" t="str">
            <v>Pulmonary Disease</v>
          </cell>
          <cell r="BM25" t="str">
            <v>GS 1/9</v>
          </cell>
        </row>
        <row r="26">
          <cell r="AD26" t="str">
            <v>16 ASC-Residency Director</v>
          </cell>
          <cell r="AF26" t="str">
            <v>Assistant Professor</v>
          </cell>
          <cell r="AX26" t="str">
            <v>Professor</v>
          </cell>
          <cell r="AY26" t="str">
            <v>Prof</v>
          </cell>
          <cell r="AZ26" t="str">
            <v>FAS</v>
          </cell>
          <cell r="BF26" t="str">
            <v>MED048</v>
          </cell>
          <cell r="BJ26" t="str">
            <v>Medical Oncology without Infusion</v>
          </cell>
          <cell r="BM26" t="str">
            <v>GS 1/10</v>
          </cell>
        </row>
        <row r="27">
          <cell r="AD27" t="str">
            <v>17 Clin Svc/Aff Agr/C&amp;W</v>
          </cell>
          <cell r="AF27" t="str">
            <v>Associate Professor</v>
          </cell>
          <cell r="BF27" t="str">
            <v>MED049</v>
          </cell>
          <cell r="BJ27" t="str">
            <v>Rheumatology</v>
          </cell>
          <cell r="BM27" t="str">
            <v>GS 2/1</v>
          </cell>
        </row>
        <row r="28">
          <cell r="AD28" t="str">
            <v>19 Other-Non SOM</v>
          </cell>
          <cell r="AF28" t="str">
            <v>Professor</v>
          </cell>
          <cell r="BF28" t="str">
            <v>MED050</v>
          </cell>
          <cell r="BJ28" t="str">
            <v>Cardiology: Invasive</v>
          </cell>
          <cell r="BM28" t="str">
            <v>GS 2/2</v>
          </cell>
        </row>
        <row r="29">
          <cell r="AD29" t="str">
            <v>21 Recharge-Clinical</v>
          </cell>
          <cell r="BF29" t="str">
            <v>MED051</v>
          </cell>
          <cell r="BJ29" t="str">
            <v>Cardiology: Noninvasive</v>
          </cell>
          <cell r="BM29" t="str">
            <v>GS 2/3</v>
          </cell>
        </row>
        <row r="30">
          <cell r="AD30" t="str">
            <v>22 Recharge-Research</v>
          </cell>
          <cell r="BF30" t="str">
            <v>MED053</v>
          </cell>
          <cell r="BJ30" t="str">
            <v>Cardiology: Invasive Interventional</v>
          </cell>
          <cell r="BM30" t="str">
            <v>GS 2/4</v>
          </cell>
        </row>
        <row r="31">
          <cell r="AD31" t="str">
            <v>23 Dean's Office Salary Savings</v>
          </cell>
          <cell r="BF31" t="str">
            <v>MED054</v>
          </cell>
          <cell r="BJ31" t="str">
            <v>Genetics</v>
          </cell>
          <cell r="BM31" t="str">
            <v>GS 2/5</v>
          </cell>
        </row>
        <row r="32">
          <cell r="AD32" t="str">
            <v>24 Dean-Clinical</v>
          </cell>
          <cell r="BF32" t="str">
            <v>MED055</v>
          </cell>
          <cell r="BJ32" t="str">
            <v>Medical Oncology with Infusion</v>
          </cell>
          <cell r="BM32" t="str">
            <v>GS 2/6</v>
          </cell>
        </row>
        <row r="33">
          <cell r="AD33" t="str">
            <v>25 Dean-Academic</v>
          </cell>
          <cell r="BF33" t="str">
            <v>MED056</v>
          </cell>
          <cell r="BJ33" t="str">
            <v>Hospitalists</v>
          </cell>
          <cell r="BM33" t="str">
            <v>GS 2/7</v>
          </cell>
        </row>
        <row r="34">
          <cell r="AD34" t="str">
            <v>26 Dean-Instruction</v>
          </cell>
          <cell r="BF34" t="str">
            <v>MED057</v>
          </cell>
          <cell r="BJ34" t="str">
            <v>Neurology: General</v>
          </cell>
          <cell r="BM34" t="str">
            <v>GS 2/8</v>
          </cell>
        </row>
        <row r="35">
          <cell r="AD35" t="str">
            <v>27 Med Grp - CSC/PMD</v>
          </cell>
          <cell r="BF35" t="str">
            <v>MED073</v>
          </cell>
          <cell r="BJ35" t="str">
            <v>Neurology: Alzheimers / Dementia</v>
          </cell>
          <cell r="BM35" t="str">
            <v>GS 2/9</v>
          </cell>
        </row>
        <row r="36">
          <cell r="AD36" t="str">
            <v>28 PC Clinical Salary</v>
          </cell>
          <cell r="BF36" t="str">
            <v>MED075</v>
          </cell>
          <cell r="BJ36" t="str">
            <v>Neurology: Neuromuscular</v>
          </cell>
          <cell r="BM36" t="str">
            <v>GS 2/10</v>
          </cell>
        </row>
        <row r="37">
          <cell r="AD37" t="str">
            <v>29 Oncology Svc Line</v>
          </cell>
          <cell r="BF37" t="str">
            <v>MED076</v>
          </cell>
          <cell r="BJ37" t="str">
            <v>Neurology: Sleep Medicine</v>
          </cell>
          <cell r="BM37" t="str">
            <v>GS 3/1</v>
          </cell>
        </row>
        <row r="38">
          <cell r="AD38" t="str">
            <v>30 HHMI</v>
          </cell>
          <cell r="BF38" t="str">
            <v>MED077</v>
          </cell>
          <cell r="BJ38" t="str">
            <v>Neurology: Epilepsy / EEG</v>
          </cell>
          <cell r="BM38" t="str">
            <v>GS 3/2</v>
          </cell>
        </row>
        <row r="39">
          <cell r="AD39" t="str">
            <v>31 Ludwig</v>
          </cell>
          <cell r="BF39" t="str">
            <v>MED078</v>
          </cell>
          <cell r="BJ39" t="str">
            <v>Gynecological Oncology</v>
          </cell>
          <cell r="BM39" t="str">
            <v>GS 3/3</v>
          </cell>
        </row>
        <row r="40">
          <cell r="AD40" t="str">
            <v>32 ASC-Fund Transfer</v>
          </cell>
          <cell r="BF40" t="str">
            <v>NEU001</v>
          </cell>
          <cell r="BJ40" t="str">
            <v>Maternal and Fetal Medicine</v>
          </cell>
          <cell r="BM40" t="str">
            <v>GS 3/4</v>
          </cell>
        </row>
        <row r="41">
          <cell r="AD41" t="str">
            <v>33 Enterprise (CEDF)</v>
          </cell>
          <cell r="BF41" t="str">
            <v>NEU003</v>
          </cell>
          <cell r="BJ41" t="str">
            <v>Obstetrics / Gynecology</v>
          </cell>
          <cell r="BM41" t="str">
            <v>GS 3/5</v>
          </cell>
        </row>
        <row r="42">
          <cell r="AD42" t="str">
            <v>34 Ph.D. Consult/Witness Fees</v>
          </cell>
          <cell r="BF42" t="str">
            <v>NEUCHR</v>
          </cell>
          <cell r="BJ42" t="str">
            <v>Reproductive Endocrinology</v>
          </cell>
          <cell r="BM42" t="str">
            <v>GS 3/6</v>
          </cell>
        </row>
        <row r="43">
          <cell r="AD43" t="str">
            <v>36 Other SOM - Clinical</v>
          </cell>
          <cell r="BF43" t="str">
            <v>OPH001</v>
          </cell>
          <cell r="BJ43" t="str">
            <v>Uro-Gynecology</v>
          </cell>
          <cell r="BM43" t="str">
            <v>GS 3/7</v>
          </cell>
        </row>
        <row r="44">
          <cell r="AD44" t="str">
            <v>38 CHAT</v>
          </cell>
          <cell r="BF44" t="str">
            <v>OPHGCP</v>
          </cell>
          <cell r="BJ44" t="str">
            <v>Gynecology</v>
          </cell>
          <cell r="BM44" t="str">
            <v>GS 3/8</v>
          </cell>
        </row>
        <row r="45">
          <cell r="BF45" t="str">
            <v>ORT001</v>
          </cell>
          <cell r="BJ45" t="str">
            <v>Radiology: Interventional</v>
          </cell>
          <cell r="BM45" t="str">
            <v>GS 3/9</v>
          </cell>
        </row>
        <row r="46">
          <cell r="BF46" t="str">
            <v>ORT002</v>
          </cell>
          <cell r="BJ46" t="str">
            <v>Radiology: Nuclear Medicine</v>
          </cell>
          <cell r="BM46" t="str">
            <v>GS 3/10</v>
          </cell>
        </row>
        <row r="47">
          <cell r="BF47" t="str">
            <v>ORT004</v>
          </cell>
          <cell r="BJ47" t="str">
            <v>Radiology: Diagnostic</v>
          </cell>
          <cell r="BM47" t="str">
            <v>GS 4/1</v>
          </cell>
        </row>
        <row r="48">
          <cell r="BF48" t="str">
            <v>ORT005</v>
          </cell>
          <cell r="BJ48" t="str">
            <v>Radiation Oncology</v>
          </cell>
          <cell r="BM48" t="str">
            <v>GS 4/2</v>
          </cell>
        </row>
        <row r="49">
          <cell r="BF49" t="str">
            <v>PEDALL</v>
          </cell>
          <cell r="BJ49" t="str">
            <v>Ophthalmology: General / Comprehensive</v>
          </cell>
          <cell r="BM49" t="str">
            <v>GS 4/3</v>
          </cell>
        </row>
        <row r="50">
          <cell r="BF50" t="str">
            <v>PEDCAR</v>
          </cell>
          <cell r="BJ50" t="str">
            <v>Ophthalmology: Corneal / Refractive Surgery</v>
          </cell>
          <cell r="BM50" t="str">
            <v>GS 4/4</v>
          </cell>
        </row>
        <row r="51">
          <cell r="BF51" t="str">
            <v>PEDCDC</v>
          </cell>
          <cell r="BJ51" t="str">
            <v>Ophthalmology: Glaucoma</v>
          </cell>
          <cell r="BM51" t="str">
            <v>GS 4/5</v>
          </cell>
        </row>
        <row r="52">
          <cell r="BF52" t="str">
            <v>PEDDER</v>
          </cell>
          <cell r="BJ52" t="str">
            <v>Ophthalmology: Neuro</v>
          </cell>
          <cell r="BM52" t="str">
            <v>GS 4/6</v>
          </cell>
        </row>
        <row r="53">
          <cell r="BF53" t="str">
            <v>PEDEME</v>
          </cell>
          <cell r="BJ53" t="str">
            <v>Ophthalmology: Pediatric</v>
          </cell>
          <cell r="BM53" t="str">
            <v>GS 4/7</v>
          </cell>
        </row>
        <row r="54">
          <cell r="BF54" t="str">
            <v>PEDEND</v>
          </cell>
          <cell r="BJ54" t="str">
            <v>Ophthalmology: Oculoplastic / Reconstructive Surgery</v>
          </cell>
          <cell r="BM54" t="str">
            <v>GS 4/8</v>
          </cell>
        </row>
        <row r="55">
          <cell r="BF55" t="str">
            <v>PEDGAS</v>
          </cell>
          <cell r="BJ55" t="str">
            <v>Ophthalmology: Retinal</v>
          </cell>
          <cell r="BM55" t="str">
            <v>GS 4/9</v>
          </cell>
        </row>
        <row r="56">
          <cell r="BF56" t="str">
            <v>PEDGEN</v>
          </cell>
          <cell r="BJ56" t="str">
            <v>Ophthalmology: Optometry</v>
          </cell>
          <cell r="BM56" t="str">
            <v>GS 4/10</v>
          </cell>
        </row>
        <row r="57">
          <cell r="BF57" t="str">
            <v>PEDHEM</v>
          </cell>
          <cell r="BJ57" t="str">
            <v>Pathology: Chartis Combined Weighted</v>
          </cell>
          <cell r="BM57" t="str">
            <v>GS 5/1</v>
          </cell>
        </row>
        <row r="58">
          <cell r="BF58" t="str">
            <v>PEDHOS</v>
          </cell>
          <cell r="BJ58" t="str">
            <v>Pathology: Anatomic</v>
          </cell>
          <cell r="BM58" t="str">
            <v>GS 5/2</v>
          </cell>
        </row>
        <row r="59">
          <cell r="BF59" t="str">
            <v>PEDINF</v>
          </cell>
          <cell r="BJ59" t="str">
            <v>Pathology: Clinical</v>
          </cell>
          <cell r="BM59" t="str">
            <v>GS 5/3</v>
          </cell>
        </row>
        <row r="60">
          <cell r="BF60" t="str">
            <v>PEDNEO</v>
          </cell>
          <cell r="BJ60" t="str">
            <v>Pathology: Surgical</v>
          </cell>
          <cell r="BM60" t="str">
            <v>GS 5/4</v>
          </cell>
        </row>
        <row r="61">
          <cell r="BF61" t="str">
            <v>PEDNEP</v>
          </cell>
          <cell r="BJ61" t="str">
            <v>Pediatrics: Allergy / Immunology</v>
          </cell>
          <cell r="BM61" t="str">
            <v>GS 5/5</v>
          </cell>
        </row>
        <row r="62">
          <cell r="BF62" t="str">
            <v>PEDPED</v>
          </cell>
          <cell r="BJ62" t="str">
            <v>Pediatrics: Infectious Disease</v>
          </cell>
          <cell r="BM62" t="str">
            <v>GS 5/6</v>
          </cell>
        </row>
        <row r="63">
          <cell r="BF63" t="str">
            <v>PEDPHD</v>
          </cell>
          <cell r="BJ63" t="str">
            <v>Pediatrics: Neurology</v>
          </cell>
          <cell r="BM63" t="str">
            <v>GS 5/7</v>
          </cell>
        </row>
        <row r="64">
          <cell r="BF64" t="str">
            <v>PEDPPR</v>
          </cell>
          <cell r="BJ64" t="str">
            <v>Pediatrics: Emergency Medicine</v>
          </cell>
          <cell r="BM64" t="str">
            <v>GS 5/8</v>
          </cell>
        </row>
        <row r="65">
          <cell r="BF65" t="str">
            <v>PEDRES</v>
          </cell>
          <cell r="BJ65" t="str">
            <v>Pediatrics: Rheumatology</v>
          </cell>
          <cell r="BM65" t="str">
            <v>GS 5/9</v>
          </cell>
        </row>
        <row r="66">
          <cell r="BF66" t="str">
            <v>PEDURG</v>
          </cell>
          <cell r="BJ66" t="str">
            <v>Pediatrics: Cardiology-Invasive</v>
          </cell>
          <cell r="BM66" t="str">
            <v>GS 5/10</v>
          </cell>
        </row>
        <row r="67">
          <cell r="BF67" t="str">
            <v>PHR000</v>
          </cell>
          <cell r="BJ67" t="str">
            <v>Pediatrics: Cardiology-Noninvasive</v>
          </cell>
          <cell r="BM67" t="str">
            <v>GS 6/1</v>
          </cell>
        </row>
        <row r="68">
          <cell r="BF68" t="str">
            <v>PHR001</v>
          </cell>
          <cell r="BJ68" t="str">
            <v>Pediatrics: Adolescent Medicine</v>
          </cell>
          <cell r="BM68" t="str">
            <v>GS 6/2</v>
          </cell>
        </row>
        <row r="69">
          <cell r="BF69" t="str">
            <v>PHR003</v>
          </cell>
          <cell r="BJ69" t="str">
            <v>Pediatrics: Hospitalists</v>
          </cell>
          <cell r="BM69" t="str">
            <v>GS 6/3</v>
          </cell>
        </row>
        <row r="70">
          <cell r="BF70" t="str">
            <v>PHR005</v>
          </cell>
          <cell r="BJ70" t="str">
            <v>Pediatrics: Rehabilitation</v>
          </cell>
          <cell r="BM70" t="str">
            <v>GS 6/4</v>
          </cell>
        </row>
        <row r="71">
          <cell r="BF71" t="str">
            <v>PST001</v>
          </cell>
          <cell r="BJ71" t="str">
            <v>Pediatrics: Neonatal Medicine</v>
          </cell>
          <cell r="BM71" t="str">
            <v>GS 6/5</v>
          </cell>
        </row>
        <row r="72">
          <cell r="BF72" t="str">
            <v>PST002</v>
          </cell>
          <cell r="BJ72" t="str">
            <v>Pediatrics: Nephrology</v>
          </cell>
          <cell r="BM72" t="str">
            <v>GS 6/6</v>
          </cell>
        </row>
        <row r="73">
          <cell r="BF73" t="str">
            <v>PST003</v>
          </cell>
          <cell r="BJ73" t="str">
            <v>Pediatrics: General</v>
          </cell>
          <cell r="BM73" t="str">
            <v>GS 6/7</v>
          </cell>
        </row>
        <row r="74">
          <cell r="BF74" t="str">
            <v>PST004</v>
          </cell>
          <cell r="BJ74" t="str">
            <v>Pediatrics: Cardiology</v>
          </cell>
          <cell r="BM74" t="str">
            <v>GS 6/8</v>
          </cell>
        </row>
        <row r="75">
          <cell r="BF75" t="str">
            <v>PST005</v>
          </cell>
          <cell r="BJ75" t="str">
            <v>Pediatrics: Endocrinology</v>
          </cell>
          <cell r="BM75" t="str">
            <v>GS 6/9</v>
          </cell>
        </row>
        <row r="76">
          <cell r="BF76" t="str">
            <v>PST006</v>
          </cell>
          <cell r="BJ76" t="str">
            <v>Pediatrics: Psychiatry</v>
          </cell>
          <cell r="BM76" t="str">
            <v>GS 6/10</v>
          </cell>
        </row>
        <row r="77">
          <cell r="BF77" t="str">
            <v>PTH001</v>
          </cell>
          <cell r="BJ77" t="str">
            <v>Pediatrics: Otorhinolaryngology</v>
          </cell>
          <cell r="BM77" t="str">
            <v>GS 7/1</v>
          </cell>
        </row>
        <row r="78">
          <cell r="BF78" t="str">
            <v>PTH002</v>
          </cell>
          <cell r="BJ78" t="str">
            <v>Pediatrics: Developmental</v>
          </cell>
          <cell r="BM78" t="str">
            <v>GS 7/2</v>
          </cell>
        </row>
        <row r="79">
          <cell r="BF79" t="str">
            <v>PTH003</v>
          </cell>
          <cell r="BJ79" t="str">
            <v>Pediatrics: Critical Care</v>
          </cell>
          <cell r="BM79" t="str">
            <v>GS 7/3</v>
          </cell>
        </row>
        <row r="80">
          <cell r="BF80" t="str">
            <v>PTH004</v>
          </cell>
          <cell r="BJ80" t="str">
            <v>Pediatrics: Pulmonology</v>
          </cell>
          <cell r="BM80" t="str">
            <v>GS 7/4</v>
          </cell>
        </row>
        <row r="81">
          <cell r="BF81" t="str">
            <v>PTH005</v>
          </cell>
          <cell r="BJ81" t="str">
            <v>Pediatrics: Hematology / Oncology</v>
          </cell>
          <cell r="BM81" t="str">
            <v>GS 7/5</v>
          </cell>
        </row>
        <row r="82">
          <cell r="BF82" t="str">
            <v>RAD001</v>
          </cell>
          <cell r="BJ82" t="str">
            <v>Pediatrics: Gastroenterology</v>
          </cell>
          <cell r="BM82" t="str">
            <v>GS 7/6</v>
          </cell>
        </row>
        <row r="83">
          <cell r="BF83" t="str">
            <v>RAD003</v>
          </cell>
          <cell r="BJ83" t="str">
            <v>Surgical Oncology</v>
          </cell>
          <cell r="BM83" t="str">
            <v>GS 7/7</v>
          </cell>
        </row>
        <row r="84">
          <cell r="BF84" t="str">
            <v>RAD004</v>
          </cell>
          <cell r="BJ84" t="str">
            <v>Transplant Surgery: Heart</v>
          </cell>
          <cell r="BM84" t="str">
            <v>GS 7/8</v>
          </cell>
        </row>
        <row r="85">
          <cell r="BF85" t="str">
            <v>RAO002</v>
          </cell>
          <cell r="BJ85" t="str">
            <v>Transplant Surgery: Kidney</v>
          </cell>
          <cell r="BM85" t="str">
            <v>GS 7/9</v>
          </cell>
        </row>
        <row r="86">
          <cell r="BF86" t="str">
            <v>RAO005</v>
          </cell>
          <cell r="BJ86" t="str">
            <v>Surgery: Burn</v>
          </cell>
          <cell r="BM86" t="str">
            <v>GS 7/10</v>
          </cell>
        </row>
        <row r="87">
          <cell r="BF87" t="str">
            <v>RPR001</v>
          </cell>
          <cell r="BJ87" t="str">
            <v>Surgery: Colon and Rectal</v>
          </cell>
          <cell r="BM87" t="str">
            <v>GS 8/1</v>
          </cell>
        </row>
        <row r="88">
          <cell r="BF88" t="str">
            <v>RPR003</v>
          </cell>
          <cell r="BJ88" t="str">
            <v>Surgery: General</v>
          </cell>
          <cell r="BM88" t="str">
            <v>GS 8/2</v>
          </cell>
        </row>
        <row r="89">
          <cell r="BF89" t="str">
            <v>RPR004</v>
          </cell>
          <cell r="BJ89" t="str">
            <v>Surgery: Neurological</v>
          </cell>
          <cell r="BM89" t="str">
            <v>GS 8/3</v>
          </cell>
        </row>
        <row r="90">
          <cell r="BF90" t="str">
            <v>SOM001</v>
          </cell>
          <cell r="BJ90" t="str">
            <v>Otorhinolaryngology</v>
          </cell>
          <cell r="BM90" t="str">
            <v>GS 8/4</v>
          </cell>
        </row>
        <row r="91">
          <cell r="BF91" t="str">
            <v>SOM002</v>
          </cell>
          <cell r="BJ91" t="str">
            <v>Surgery: Pediatric</v>
          </cell>
          <cell r="BM91" t="str">
            <v>GS 8/5</v>
          </cell>
        </row>
        <row r="92">
          <cell r="BF92" t="str">
            <v>SOM003</v>
          </cell>
          <cell r="BJ92" t="str">
            <v>Surgery: Plastic</v>
          </cell>
          <cell r="BM92" t="str">
            <v>GS 8/6</v>
          </cell>
        </row>
        <row r="93">
          <cell r="BF93" t="str">
            <v>SOMVA1</v>
          </cell>
          <cell r="BJ93" t="str">
            <v>Surgery: Cardiac</v>
          </cell>
          <cell r="BM93" t="str">
            <v>GS 8/7</v>
          </cell>
        </row>
        <row r="94">
          <cell r="BF94" t="str">
            <v>SOP002</v>
          </cell>
          <cell r="BJ94" t="str">
            <v>Urology</v>
          </cell>
          <cell r="BM94" t="str">
            <v>GS 8/8</v>
          </cell>
        </row>
        <row r="95">
          <cell r="BF95" t="str">
            <v>SUR001</v>
          </cell>
          <cell r="BJ95" t="str">
            <v>Transplant Surgery: Heart / Lung</v>
          </cell>
          <cell r="BM95" t="str">
            <v>GS 8/9</v>
          </cell>
        </row>
        <row r="96">
          <cell r="BF96" t="str">
            <v>SUR002</v>
          </cell>
          <cell r="BJ96" t="str">
            <v>Surgery: Vascular</v>
          </cell>
          <cell r="BM96" t="str">
            <v>GS 8/10</v>
          </cell>
        </row>
        <row r="97">
          <cell r="BF97" t="str">
            <v>SUR003</v>
          </cell>
          <cell r="BJ97" t="str">
            <v>Surgery: Thoracic</v>
          </cell>
          <cell r="BM97" t="str">
            <v>GS 9/1</v>
          </cell>
        </row>
        <row r="98">
          <cell r="BF98" t="str">
            <v>SUR004</v>
          </cell>
          <cell r="BJ98" t="str">
            <v>Transplant Surgery: Liver</v>
          </cell>
          <cell r="BM98" t="str">
            <v>GS 9/2</v>
          </cell>
        </row>
        <row r="99">
          <cell r="BF99" t="str">
            <v>SUR005</v>
          </cell>
          <cell r="BJ99" t="str">
            <v>Surgery: Oral</v>
          </cell>
          <cell r="BM99" t="str">
            <v>GS 9/3</v>
          </cell>
        </row>
        <row r="100">
          <cell r="BF100" t="str">
            <v>SUR006</v>
          </cell>
          <cell r="BJ100" t="str">
            <v>Cardiology: Electrophysiology</v>
          </cell>
          <cell r="BM100" t="str">
            <v>GS 9/4</v>
          </cell>
        </row>
        <row r="101">
          <cell r="BF101" t="str">
            <v>SUR007</v>
          </cell>
          <cell r="BJ101" t="str">
            <v>Cardiology: General</v>
          </cell>
          <cell r="BM101" t="str">
            <v>GS 9/5</v>
          </cell>
        </row>
        <row r="102">
          <cell r="BF102" t="str">
            <v>SUR008</v>
          </cell>
          <cell r="BJ102" t="str">
            <v>Transplant Surgery: General</v>
          </cell>
          <cell r="BM102" t="str">
            <v>GS 9/6</v>
          </cell>
        </row>
        <row r="103">
          <cell r="BJ103" t="str">
            <v>Surgery: Trauma</v>
          </cell>
          <cell r="BM103" t="str">
            <v>GS 9/7</v>
          </cell>
        </row>
        <row r="104">
          <cell r="BJ104" t="str">
            <v>Psychiatry</v>
          </cell>
          <cell r="BM104" t="str">
            <v>GS 9/8</v>
          </cell>
        </row>
        <row r="105">
          <cell r="BJ105" t="str">
            <v>Orthopedic Surgery: Trauma</v>
          </cell>
          <cell r="BM105" t="str">
            <v>GS 9/9</v>
          </cell>
        </row>
        <row r="106">
          <cell r="BJ106" t="str">
            <v>Orthopedic Surgery: Spine</v>
          </cell>
          <cell r="BM106" t="str">
            <v>GS 9/10</v>
          </cell>
        </row>
        <row r="107">
          <cell r="BJ107" t="str">
            <v>Orthopedic Surgery: Joint</v>
          </cell>
          <cell r="BM107" t="str">
            <v>GS 10/1</v>
          </cell>
        </row>
        <row r="108">
          <cell r="BJ108" t="str">
            <v>Orthopedic Surgery: Hand</v>
          </cell>
          <cell r="BM108" t="str">
            <v>GS 10/2</v>
          </cell>
        </row>
        <row r="109">
          <cell r="BJ109" t="str">
            <v>Orthopedic Surgery: General</v>
          </cell>
          <cell r="BM109" t="str">
            <v>GS 10/3</v>
          </cell>
        </row>
        <row r="110">
          <cell r="BJ110" t="str">
            <v>Orthopedic Surgery: Oncology</v>
          </cell>
          <cell r="BM110" t="str">
            <v>GS 10/4</v>
          </cell>
        </row>
        <row r="111">
          <cell r="BJ111" t="str">
            <v>Orthopedic Surgery: Pediatric</v>
          </cell>
          <cell r="BM111" t="str">
            <v>GS 10/5</v>
          </cell>
        </row>
        <row r="112">
          <cell r="BJ112" t="str">
            <v>Orthopedic Surgery: Foot / Ankle</v>
          </cell>
          <cell r="BM112" t="str">
            <v>GS 10/6</v>
          </cell>
        </row>
        <row r="113">
          <cell r="BJ113" t="str">
            <v>Orthopedic Surgery: Sports Medicine</v>
          </cell>
          <cell r="BM113" t="str">
            <v>GS 10/7</v>
          </cell>
        </row>
        <row r="114">
          <cell r="BJ114" t="str">
            <v>Orthopedic Surgery: Shoulder / Elbow</v>
          </cell>
          <cell r="BM114" t="str">
            <v>GS 10/8</v>
          </cell>
        </row>
        <row r="115">
          <cell r="BJ115" t="str">
            <v>Physical Therapy</v>
          </cell>
          <cell r="BM115" t="str">
            <v>GS 10/9</v>
          </cell>
        </row>
        <row r="116">
          <cell r="BJ116" t="str">
            <v>Anesthesiology</v>
          </cell>
          <cell r="BM116" t="str">
            <v>GS 10/10</v>
          </cell>
        </row>
        <row r="117">
          <cell r="BJ117" t="str">
            <v>Critical Care</v>
          </cell>
          <cell r="BM117" t="str">
            <v>GS 11/1</v>
          </cell>
        </row>
        <row r="118">
          <cell r="BJ118" t="str">
            <v>Pain Management</v>
          </cell>
          <cell r="BM118" t="str">
            <v>GS 11/2</v>
          </cell>
        </row>
        <row r="119">
          <cell r="BJ119" t="str">
            <v>Emergency Medicine</v>
          </cell>
          <cell r="BM119" t="str">
            <v>GS 11/3</v>
          </cell>
        </row>
        <row r="120">
          <cell r="BM120" t="str">
            <v>GS 11/4</v>
          </cell>
        </row>
        <row r="121">
          <cell r="BM121" t="str">
            <v>GS 11/5</v>
          </cell>
        </row>
        <row r="122">
          <cell r="BM122" t="str">
            <v>GS 11/6</v>
          </cell>
        </row>
        <row r="123">
          <cell r="BM123" t="str">
            <v>GS 11/7</v>
          </cell>
        </row>
        <row r="124">
          <cell r="BM124" t="str">
            <v>GS 11/8</v>
          </cell>
        </row>
        <row r="125">
          <cell r="BM125" t="str">
            <v>GS 11/9</v>
          </cell>
        </row>
        <row r="126">
          <cell r="BM126" t="str">
            <v>GS 11/10</v>
          </cell>
        </row>
        <row r="127">
          <cell r="BM127" t="str">
            <v>GS 12/1</v>
          </cell>
        </row>
        <row r="128">
          <cell r="BM128" t="str">
            <v>GS 12/2</v>
          </cell>
        </row>
        <row r="129">
          <cell r="BM129" t="str">
            <v>GS 12/3</v>
          </cell>
        </row>
        <row r="130">
          <cell r="BM130" t="str">
            <v>GS 12/4</v>
          </cell>
        </row>
        <row r="131">
          <cell r="BM131" t="str">
            <v>GS 12/5</v>
          </cell>
        </row>
        <row r="132">
          <cell r="BM132" t="str">
            <v>GS 12/6</v>
          </cell>
        </row>
        <row r="133">
          <cell r="BM133" t="str">
            <v>GS 12/7</v>
          </cell>
        </row>
        <row r="134">
          <cell r="BM134" t="str">
            <v>GS 12/8</v>
          </cell>
        </row>
        <row r="135">
          <cell r="BM135" t="str">
            <v>GS 12/9</v>
          </cell>
        </row>
        <row r="136">
          <cell r="BM136" t="str">
            <v>GS 12/10</v>
          </cell>
        </row>
        <row r="137">
          <cell r="BM137" t="str">
            <v>GS 13/1</v>
          </cell>
        </row>
        <row r="138">
          <cell r="BM138" t="str">
            <v>GS 13/2</v>
          </cell>
        </row>
        <row r="139">
          <cell r="BM139" t="str">
            <v>GS 13/3</v>
          </cell>
        </row>
        <row r="140">
          <cell r="BM140" t="str">
            <v>GS 13/4</v>
          </cell>
        </row>
        <row r="141">
          <cell r="BM141" t="str">
            <v>GS 13/5</v>
          </cell>
        </row>
        <row r="142">
          <cell r="BM142" t="str">
            <v>GS 13/6</v>
          </cell>
        </row>
        <row r="143">
          <cell r="BM143" t="str">
            <v>GS 13/7</v>
          </cell>
        </row>
        <row r="144">
          <cell r="BM144" t="str">
            <v>GS 13/8</v>
          </cell>
        </row>
        <row r="145">
          <cell r="BM145" t="str">
            <v>GS 13/9</v>
          </cell>
        </row>
        <row r="146">
          <cell r="BM146" t="str">
            <v>GS 13/10</v>
          </cell>
        </row>
        <row r="147">
          <cell r="BM147" t="str">
            <v>GS 14/1</v>
          </cell>
        </row>
        <row r="148">
          <cell r="BM148" t="str">
            <v>GS 14/2</v>
          </cell>
        </row>
        <row r="149">
          <cell r="BM149" t="str">
            <v>GS 14/3</v>
          </cell>
        </row>
        <row r="150">
          <cell r="BM150" t="str">
            <v>GS 14/4</v>
          </cell>
        </row>
        <row r="151">
          <cell r="BM151" t="str">
            <v>GS 14/5</v>
          </cell>
        </row>
        <row r="152">
          <cell r="BM152" t="str">
            <v>GS 14/6</v>
          </cell>
        </row>
        <row r="153">
          <cell r="BM153" t="str">
            <v>GS 14/7</v>
          </cell>
        </row>
        <row r="154">
          <cell r="BM154" t="str">
            <v>GS 14/8</v>
          </cell>
        </row>
        <row r="155">
          <cell r="BM155" t="str">
            <v>GS 14/9</v>
          </cell>
        </row>
        <row r="156">
          <cell r="BM156" t="str">
            <v>GS 14/10</v>
          </cell>
        </row>
        <row r="157">
          <cell r="BM157" t="str">
            <v>GS 15/1</v>
          </cell>
        </row>
        <row r="158">
          <cell r="BM158" t="str">
            <v>GS 15/2</v>
          </cell>
        </row>
        <row r="159">
          <cell r="BM159" t="str">
            <v>GS 15/3</v>
          </cell>
        </row>
        <row r="160">
          <cell r="BM160" t="str">
            <v>GS 15/4</v>
          </cell>
        </row>
        <row r="161">
          <cell r="BM161" t="str">
            <v>GS 15/5</v>
          </cell>
        </row>
        <row r="162">
          <cell r="BM162" t="str">
            <v>GS 15/6</v>
          </cell>
        </row>
        <row r="163">
          <cell r="BM163" t="str">
            <v>GS 15/7</v>
          </cell>
        </row>
        <row r="164">
          <cell r="BM164" t="str">
            <v>GS 15/8</v>
          </cell>
        </row>
        <row r="165">
          <cell r="BM165" t="str">
            <v>GS 15/9</v>
          </cell>
        </row>
        <row r="166">
          <cell r="BM166" t="str">
            <v>GS 15/10</v>
          </cell>
        </row>
      </sheetData>
      <sheetData sheetId="10"/>
      <sheetData sheetId="11" refreshError="1"/>
      <sheetData sheetId="12" refreshError="1"/>
      <sheetData sheetId="13">
        <row r="7">
          <cell r="G7">
            <v>120399.95999999999</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T14"/>
  <sheetViews>
    <sheetView showGridLines="0" tabSelected="1" zoomScaleNormal="100" zoomScaleSheetLayoutView="100" workbookViewId="0">
      <selection activeCell="F5" sqref="F5:K5"/>
    </sheetView>
  </sheetViews>
  <sheetFormatPr defaultColWidth="8.85546875" defaultRowHeight="15" x14ac:dyDescent="0.25"/>
  <cols>
    <col min="1" max="1" width="1.7109375" customWidth="1"/>
    <col min="2" max="2" width="4.140625" style="22" customWidth="1"/>
    <col min="3" max="3" width="2.140625" customWidth="1"/>
    <col min="4" max="4" width="4" customWidth="1"/>
    <col min="5" max="5" width="2.7109375" customWidth="1"/>
    <col min="6" max="6" width="23.28515625" customWidth="1"/>
    <col min="7" max="7" width="4.140625" customWidth="1"/>
    <col min="8" max="8" width="3.140625" customWidth="1"/>
    <col min="9" max="9" width="13.28515625" customWidth="1"/>
    <col min="10" max="10" width="10.5703125" customWidth="1"/>
    <col min="11" max="11" width="8.42578125" customWidth="1"/>
    <col min="12" max="12" width="13.7109375" customWidth="1"/>
    <col min="13" max="13" width="11.7109375" customWidth="1"/>
    <col min="14" max="14" width="3.5703125" customWidth="1"/>
    <col min="15" max="15" width="9.140625" customWidth="1"/>
    <col min="16" max="16" width="8.42578125" customWidth="1"/>
    <col min="17" max="17" width="13" customWidth="1"/>
    <col min="18" max="18" width="12.85546875" customWidth="1"/>
    <col min="19" max="19" width="13" customWidth="1"/>
    <col min="20" max="20" width="12.7109375" customWidth="1"/>
  </cols>
  <sheetData>
    <row r="1" spans="1:20" ht="18.75" x14ac:dyDescent="0.3">
      <c r="A1" s="8" t="s">
        <v>257</v>
      </c>
      <c r="R1" s="9" t="s">
        <v>0</v>
      </c>
      <c r="S1" s="9"/>
      <c r="T1" s="178" t="s">
        <v>260</v>
      </c>
    </row>
    <row r="2" spans="1:20" ht="9.75" customHeight="1" x14ac:dyDescent="0.25"/>
    <row r="3" spans="1:20" ht="15.75" x14ac:dyDescent="0.25">
      <c r="A3" s="159" t="s">
        <v>1</v>
      </c>
      <c r="B3" s="189"/>
      <c r="C3" s="67"/>
      <c r="D3" s="67"/>
      <c r="E3" s="67"/>
      <c r="F3" s="67"/>
      <c r="G3" s="67"/>
      <c r="H3" s="67"/>
      <c r="I3" s="67"/>
      <c r="J3" s="67"/>
      <c r="K3" s="67"/>
      <c r="L3" s="67"/>
      <c r="M3" s="67"/>
      <c r="N3" s="67"/>
      <c r="O3" s="67"/>
      <c r="P3" s="67"/>
      <c r="Q3" s="67"/>
      <c r="R3" s="67"/>
      <c r="S3" s="67"/>
      <c r="T3" s="67"/>
    </row>
    <row r="4" spans="1:20" ht="7.5" customHeight="1" x14ac:dyDescent="0.25">
      <c r="A4" s="10"/>
    </row>
    <row r="5" spans="1:20" x14ac:dyDescent="0.25">
      <c r="A5" s="7" t="s">
        <v>2</v>
      </c>
      <c r="F5" s="268">
        <v>10245323</v>
      </c>
      <c r="G5" s="268"/>
      <c r="H5" s="268"/>
      <c r="I5" s="268"/>
      <c r="J5" s="268"/>
      <c r="K5" s="268"/>
      <c r="M5" s="7" t="s">
        <v>3</v>
      </c>
      <c r="N5" s="7"/>
      <c r="O5" s="268"/>
      <c r="P5" s="268"/>
      <c r="Q5" s="268"/>
      <c r="R5" s="268"/>
      <c r="S5" s="268"/>
      <c r="T5" s="268"/>
    </row>
    <row r="6" spans="1:20" ht="7.5" customHeight="1" x14ac:dyDescent="0.25">
      <c r="A6" s="7"/>
      <c r="M6" s="7"/>
      <c r="N6" s="7"/>
    </row>
    <row r="7" spans="1:20" x14ac:dyDescent="0.25">
      <c r="A7" s="7" t="s">
        <v>4</v>
      </c>
      <c r="F7" s="268" t="s">
        <v>259</v>
      </c>
      <c r="G7" s="268"/>
      <c r="H7" s="268"/>
      <c r="I7" s="268"/>
      <c r="J7" s="268"/>
      <c r="K7" s="268"/>
      <c r="M7" s="7" t="s">
        <v>251</v>
      </c>
      <c r="N7" s="7"/>
      <c r="O7" s="268"/>
      <c r="P7" s="268"/>
      <c r="Q7" s="268"/>
      <c r="R7" s="268"/>
      <c r="S7" s="268"/>
      <c r="T7" s="268"/>
    </row>
    <row r="8" spans="1:20" ht="9.6" customHeight="1" x14ac:dyDescent="0.25"/>
    <row r="9" spans="1:20" ht="46.15" customHeight="1" x14ac:dyDescent="0.25">
      <c r="F9" s="160" t="s">
        <v>18</v>
      </c>
      <c r="G9" s="161" t="s">
        <v>6</v>
      </c>
      <c r="H9" s="161" t="s">
        <v>7</v>
      </c>
      <c r="I9" s="162" t="s">
        <v>8</v>
      </c>
      <c r="J9" s="162" t="s">
        <v>181</v>
      </c>
      <c r="K9" s="162" t="s">
        <v>182</v>
      </c>
      <c r="L9" s="163" t="s">
        <v>9</v>
      </c>
      <c r="M9" s="164" t="s">
        <v>252</v>
      </c>
      <c r="N9" s="271" t="s">
        <v>11</v>
      </c>
      <c r="O9" s="271"/>
      <c r="P9" s="164" t="s">
        <v>187</v>
      </c>
      <c r="Q9" s="164" t="s">
        <v>13</v>
      </c>
      <c r="R9" s="162" t="s">
        <v>14</v>
      </c>
      <c r="S9" s="165" t="s">
        <v>15</v>
      </c>
    </row>
    <row r="10" spans="1:20" ht="18" customHeight="1" x14ac:dyDescent="0.25">
      <c r="A10" s="176" t="s">
        <v>236</v>
      </c>
      <c r="B10" s="190"/>
      <c r="C10" s="177"/>
      <c r="D10" s="177"/>
      <c r="E10" s="177"/>
      <c r="F10" s="153" t="s">
        <v>193</v>
      </c>
      <c r="G10" s="154">
        <v>4</v>
      </c>
      <c r="H10" s="154"/>
      <c r="I10" s="155">
        <v>103400</v>
      </c>
      <c r="J10" s="156">
        <v>25000</v>
      </c>
      <c r="K10" s="156">
        <v>3500</v>
      </c>
      <c r="L10" s="233">
        <f>I10+J10+K10</f>
        <v>131900</v>
      </c>
      <c r="M10" s="155">
        <v>35000</v>
      </c>
      <c r="N10" s="272">
        <f>L10+M10</f>
        <v>166900</v>
      </c>
      <c r="O10" s="272" t="e">
        <f>Worksheet!#REF!</f>
        <v>#REF!</v>
      </c>
      <c r="P10" s="157">
        <v>1</v>
      </c>
      <c r="Q10" s="262">
        <f>ROUND(SUM(L10:M10)/9*3*P10,2)</f>
        <v>55633.33</v>
      </c>
      <c r="R10" s="155"/>
      <c r="S10" s="158">
        <f>(N10*P10)+(Q10)+R10</f>
        <v>222533.33000000002</v>
      </c>
    </row>
    <row r="11" spans="1:20" ht="27.75" customHeight="1" x14ac:dyDescent="0.25">
      <c r="A11" s="7"/>
      <c r="F11" s="269" t="s">
        <v>186</v>
      </c>
      <c r="G11" s="269"/>
      <c r="H11" s="269"/>
      <c r="I11" s="175" t="s">
        <v>185</v>
      </c>
      <c r="J11" s="173" t="s">
        <v>184</v>
      </c>
      <c r="K11" s="173" t="s">
        <v>183</v>
      </c>
      <c r="L11" s="174"/>
      <c r="M11" s="173"/>
      <c r="N11" s="166"/>
      <c r="O11" s="166"/>
      <c r="P11" s="167"/>
      <c r="Q11" s="168"/>
      <c r="R11" s="168"/>
      <c r="S11" s="168"/>
      <c r="T11" s="36"/>
    </row>
    <row r="12" spans="1:20" ht="6" customHeight="1" x14ac:dyDescent="0.25">
      <c r="A12" s="270"/>
      <c r="B12" s="270"/>
      <c r="C12" s="270"/>
      <c r="D12" s="270"/>
      <c r="E12" s="270"/>
      <c r="F12" s="270"/>
      <c r="G12" s="270"/>
      <c r="H12" s="270"/>
      <c r="I12" s="270"/>
      <c r="J12" s="270"/>
      <c r="K12" s="270"/>
      <c r="L12" s="270"/>
      <c r="M12" s="270"/>
      <c r="N12" s="270"/>
      <c r="O12" s="270"/>
      <c r="P12" s="270"/>
      <c r="Q12" s="270"/>
      <c r="R12" s="270"/>
      <c r="S12" s="270"/>
      <c r="T12" s="3"/>
    </row>
    <row r="13" spans="1:20" x14ac:dyDescent="0.25">
      <c r="A13" s="7" t="s">
        <v>17</v>
      </c>
      <c r="I13" s="233">
        <f>ROUND(M10*P10*0.1,0)</f>
        <v>3500</v>
      </c>
      <c r="J13" s="169">
        <f>(I13/L10)</f>
        <v>2.6535253980288095E-2</v>
      </c>
      <c r="K13" s="170"/>
      <c r="L13" s="171" t="s">
        <v>240</v>
      </c>
      <c r="M13" s="261">
        <f>IFERROR(ROUND(M10/L10,4),0)</f>
        <v>0.26540000000000002</v>
      </c>
      <c r="P13" s="264"/>
      <c r="Q13" s="149"/>
      <c r="R13" s="265"/>
    </row>
    <row r="14" spans="1:20" ht="7.5" customHeight="1" x14ac:dyDescent="0.25"/>
  </sheetData>
  <sheetProtection sheet="1" selectLockedCells="1"/>
  <mergeCells count="8">
    <mergeCell ref="O5:T5"/>
    <mergeCell ref="O7:T7"/>
    <mergeCell ref="F11:H11"/>
    <mergeCell ref="F5:K5"/>
    <mergeCell ref="A12:S12"/>
    <mergeCell ref="F7:K7"/>
    <mergeCell ref="N9:O9"/>
    <mergeCell ref="N10:O10"/>
  </mergeCells>
  <dataValidations count="1">
    <dataValidation type="list" errorStyle="warning" allowBlank="1" showInputMessage="1" showErrorMessage="1" errorTitle="Warning" error="You have entered a type not on our list" promptTitle="Fund Source" prompt="Please enter funding type" sqref="L2:L4" xr:uid="{00000000-0002-0000-0000-000000000000}">
      <formula1>$T$1:$T$5</formula1>
    </dataValidation>
  </dataValidations>
  <pageMargins left="0.7" right="0.7" top="0.75" bottom="0.75" header="0.3" footer="0.3"/>
  <pageSetup paperSize="5" scale="93" fitToHeight="0" orientation="landscape" r:id="rId1"/>
  <drawing r:id="rId2"/>
  <extLst>
    <ext xmlns:x14="http://schemas.microsoft.com/office/spreadsheetml/2009/9/main" uri="{CCE6A557-97BC-4b89-ADB6-D9C93CAAB3DF}">
      <x14:dataValidations xmlns:xm="http://schemas.microsoft.com/office/excel/2006/main" count="5">
        <x14:dataValidation type="list" errorStyle="warning" allowBlank="1" showInputMessage="1" showErrorMessage="1" error="Non-Senate faculty are not eligible" promptTitle="Faculty Rank" prompt="Please enter faculty rank" xr:uid="{00000000-0002-0000-0000-000001000000}">
          <x14:formula1>
            <xm:f>DropDown!$A$3:$A$5</xm:f>
          </x14:formula1>
          <xm:sqref>F11</xm:sqref>
        </x14:dataValidation>
        <x14:dataValidation type="list" errorStyle="warning" allowBlank="1" showInputMessage="1" showErrorMessage="1" error="Non-Senate faculty are not eligible" promptTitle="Faculty Rank" prompt="Please enter faculty rank" xr:uid="{00000000-0002-0000-0000-000002000000}">
          <x14:formula1>
            <xm:f>DropDown!$A$3:$A$23</xm:f>
          </x14:formula1>
          <xm:sqref>F10</xm:sqref>
        </x14:dataValidation>
        <x14:dataValidation type="list" allowBlank="1" showInputMessage="1" showErrorMessage="1" xr:uid="{00000000-0002-0000-0000-000003000000}">
          <x14:formula1>
            <xm:f>DropDown!$B$3:$B$12</xm:f>
          </x14:formula1>
          <xm:sqref>G10</xm:sqref>
        </x14:dataValidation>
        <x14:dataValidation type="list" allowBlank="1" showInputMessage="1" showErrorMessage="1" xr:uid="{00000000-0002-0000-0000-000004000000}">
          <x14:formula1>
            <xm:f>DropDown!$C$3:$C$4</xm:f>
          </x14:formula1>
          <xm:sqref>H10</xm:sqref>
        </x14:dataValidation>
        <x14:dataValidation type="list" errorStyle="warning" allowBlank="1" showInputMessage="1" showErrorMessage="1" errorTitle="Incorrect Entry" error="Please use dropdown to select division." promptTitle="Division/School" prompt="Please select division(s) and/or school(s) for appointment(s)" xr:uid="{00000000-0002-0000-0000-000005000000}">
          <x14:formula1>
            <xm:f>DropDown!$D$2:$D$11</xm:f>
          </x14:formula1>
          <xm:sqref>O7:T7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AM151"/>
  <sheetViews>
    <sheetView showGridLines="0" zoomScale="96" zoomScaleNormal="96" workbookViewId="0">
      <selection activeCell="A30" sqref="A30"/>
    </sheetView>
  </sheetViews>
  <sheetFormatPr defaultRowHeight="15" x14ac:dyDescent="0.25"/>
  <cols>
    <col min="1" max="1" width="12.85546875" customWidth="1"/>
    <col min="2" max="2" width="10.28515625" customWidth="1"/>
    <col min="3" max="3" width="13" customWidth="1"/>
    <col min="4" max="4" width="4.7109375" bestFit="1" customWidth="1"/>
    <col min="5" max="5" width="13" customWidth="1"/>
    <col min="6" max="7" width="10.28515625" customWidth="1"/>
    <col min="8" max="8" width="9.5703125" customWidth="1"/>
    <col min="9" max="9" width="13.7109375" customWidth="1"/>
    <col min="10" max="10" width="12.5703125" customWidth="1"/>
    <col min="11" max="11" width="13.7109375" customWidth="1"/>
    <col min="12" max="12" width="6.85546875" customWidth="1"/>
    <col min="13" max="13" width="12.85546875" customWidth="1"/>
    <col min="14" max="14" width="10.85546875" customWidth="1"/>
    <col min="15" max="15" width="12.7109375" customWidth="1"/>
    <col min="16" max="16" width="13.140625" customWidth="1"/>
    <col min="17" max="17" width="16.5703125" customWidth="1"/>
    <col min="18" max="18" width="14" bestFit="1" customWidth="1"/>
    <col min="19" max="19" width="12.7109375" customWidth="1"/>
    <col min="20" max="20" width="22.5703125" customWidth="1"/>
    <col min="21" max="21" width="11.140625" customWidth="1"/>
    <col min="22" max="22" width="19" bestFit="1" customWidth="1"/>
    <col min="23" max="23" width="7.5703125" customWidth="1"/>
    <col min="24" max="24" width="17.28515625" customWidth="1"/>
    <col min="25" max="25" width="5.7109375" customWidth="1"/>
    <col min="26" max="26" width="2.7109375" customWidth="1"/>
    <col min="27" max="27" width="6.140625" customWidth="1"/>
    <col min="29" max="30" width="11.140625" customWidth="1"/>
    <col min="31" max="31" width="11.28515625" customWidth="1"/>
    <col min="32" max="32" width="15.42578125" customWidth="1"/>
    <col min="33" max="33" width="14.7109375" customWidth="1"/>
    <col min="36" max="36" width="11.5703125" customWidth="1"/>
  </cols>
  <sheetData>
    <row r="1" spans="1:33" ht="18.75" x14ac:dyDescent="0.3">
      <c r="A1" s="8" t="s">
        <v>21</v>
      </c>
      <c r="P1" s="9" t="s">
        <v>0</v>
      </c>
      <c r="Q1" s="232" t="s">
        <v>260</v>
      </c>
      <c r="R1" s="22"/>
      <c r="S1" s="22"/>
      <c r="Z1" s="51"/>
    </row>
    <row r="2" spans="1:33" ht="19.5" customHeight="1" x14ac:dyDescent="0.25">
      <c r="R2" s="22"/>
      <c r="Z2" s="51"/>
    </row>
    <row r="3" spans="1:33" ht="15.75" x14ac:dyDescent="0.25">
      <c r="A3" s="15" t="s">
        <v>1</v>
      </c>
      <c r="B3" s="16"/>
      <c r="C3" s="16"/>
      <c r="D3" s="16"/>
      <c r="E3" s="16"/>
      <c r="F3" s="16"/>
      <c r="G3" s="16"/>
      <c r="H3" s="16"/>
      <c r="I3" s="16"/>
      <c r="J3" s="16"/>
      <c r="K3" s="16"/>
      <c r="L3" s="16"/>
      <c r="M3" s="16"/>
      <c r="N3" s="16"/>
      <c r="O3" s="16"/>
      <c r="P3" s="16"/>
      <c r="Q3" s="16"/>
      <c r="R3" s="22"/>
      <c r="Z3" s="51"/>
    </row>
    <row r="4" spans="1:33" ht="15" customHeight="1" x14ac:dyDescent="0.25">
      <c r="A4" s="10"/>
      <c r="R4" s="22"/>
      <c r="Z4" s="51"/>
    </row>
    <row r="5" spans="1:33" x14ac:dyDescent="0.25">
      <c r="A5" s="7" t="s">
        <v>2</v>
      </c>
      <c r="B5" s="286">
        <f>Request!F5</f>
        <v>10245323</v>
      </c>
      <c r="C5" s="287"/>
      <c r="D5" s="287"/>
      <c r="E5" s="287"/>
      <c r="F5" s="287"/>
      <c r="G5" s="288"/>
      <c r="H5" s="150"/>
      <c r="I5" s="150"/>
      <c r="K5" s="7" t="s">
        <v>3</v>
      </c>
      <c r="L5" s="7"/>
      <c r="M5" s="279">
        <f>Request!O5</f>
        <v>0</v>
      </c>
      <c r="N5" s="280"/>
      <c r="O5" s="280"/>
      <c r="P5" s="280"/>
      <c r="Q5" s="281"/>
      <c r="R5" s="22"/>
      <c r="Z5" s="51"/>
    </row>
    <row r="6" spans="1:33" ht="7.5" customHeight="1" x14ac:dyDescent="0.25">
      <c r="A6" s="7"/>
      <c r="K6" s="7"/>
      <c r="L6" s="7"/>
      <c r="R6" s="22"/>
      <c r="Z6" s="51"/>
    </row>
    <row r="7" spans="1:33" x14ac:dyDescent="0.25">
      <c r="A7" s="7" t="s">
        <v>4</v>
      </c>
      <c r="B7" s="279" t="str">
        <f>Request!F7</f>
        <v>Smith, John</v>
      </c>
      <c r="C7" s="280"/>
      <c r="D7" s="280"/>
      <c r="E7" s="280"/>
      <c r="F7" s="280"/>
      <c r="G7" s="281"/>
      <c r="H7" s="149"/>
      <c r="I7" s="149"/>
      <c r="K7" s="7" t="s">
        <v>251</v>
      </c>
      <c r="L7" s="7"/>
      <c r="M7" s="279">
        <f>Request!O7</f>
        <v>0</v>
      </c>
      <c r="N7" s="280"/>
      <c r="O7" s="280"/>
      <c r="P7" s="280"/>
      <c r="Q7" s="281"/>
      <c r="R7" s="22"/>
      <c r="Z7" s="51"/>
    </row>
    <row r="8" spans="1:33" x14ac:dyDescent="0.25">
      <c r="R8" s="22"/>
      <c r="Z8" s="51"/>
    </row>
    <row r="9" spans="1:33" ht="7.5" customHeight="1" x14ac:dyDescent="0.25">
      <c r="A9" s="9"/>
      <c r="R9" s="22"/>
      <c r="Z9" s="51"/>
    </row>
    <row r="10" spans="1:33" ht="4.9000000000000004" customHeight="1" x14ac:dyDescent="0.25">
      <c r="A10" s="2"/>
      <c r="R10" s="22"/>
      <c r="Z10" s="51"/>
    </row>
    <row r="11" spans="1:33" ht="28.15" customHeight="1" x14ac:dyDescent="0.25">
      <c r="A11" s="104"/>
      <c r="B11" s="6" t="s">
        <v>5</v>
      </c>
      <c r="C11" s="6"/>
      <c r="D11" s="17" t="s">
        <v>6</v>
      </c>
      <c r="E11" s="17" t="s">
        <v>7</v>
      </c>
      <c r="F11" s="5" t="s">
        <v>8</v>
      </c>
      <c r="G11" s="5" t="s">
        <v>181</v>
      </c>
      <c r="H11" s="5" t="s">
        <v>182</v>
      </c>
      <c r="I11" s="5"/>
      <c r="J11" s="114" t="s">
        <v>9</v>
      </c>
      <c r="K11" s="114" t="s">
        <v>10</v>
      </c>
      <c r="L11" s="282" t="s">
        <v>11</v>
      </c>
      <c r="M11" s="282"/>
      <c r="N11" s="114" t="s">
        <v>187</v>
      </c>
      <c r="O11" s="114" t="s">
        <v>22</v>
      </c>
      <c r="P11" s="5" t="s">
        <v>23</v>
      </c>
      <c r="Q11" s="114" t="s">
        <v>15</v>
      </c>
      <c r="R11" s="22"/>
      <c r="Z11" s="51"/>
      <c r="AB11" s="91" t="s">
        <v>24</v>
      </c>
      <c r="AC11" s="84"/>
      <c r="AD11" s="84"/>
      <c r="AE11" s="84"/>
      <c r="AF11" s="84"/>
      <c r="AG11" s="85"/>
    </row>
    <row r="12" spans="1:33" ht="18" customHeight="1" x14ac:dyDescent="0.25">
      <c r="A12" s="7" t="s">
        <v>16</v>
      </c>
      <c r="B12" s="289" t="str">
        <f>Request!F10</f>
        <v>1100 - PROF-AY</v>
      </c>
      <c r="C12" s="290"/>
      <c r="D12" s="18">
        <f>Request!G10</f>
        <v>4</v>
      </c>
      <c r="E12" s="18">
        <f>Request!H10</f>
        <v>0</v>
      </c>
      <c r="F12" s="11">
        <f>Request!I10</f>
        <v>103400</v>
      </c>
      <c r="G12" s="11">
        <f>Request!J10</f>
        <v>25000</v>
      </c>
      <c r="H12" s="11">
        <f>Request!K10</f>
        <v>3500</v>
      </c>
      <c r="I12" s="11"/>
      <c r="J12" s="12">
        <f>SUM(F12:H12)</f>
        <v>131900</v>
      </c>
      <c r="K12" s="11">
        <f>Request!M10</f>
        <v>35000</v>
      </c>
      <c r="L12" s="284">
        <f>J12+K12</f>
        <v>166900</v>
      </c>
      <c r="M12" s="285"/>
      <c r="N12" s="19">
        <f>Request!P10</f>
        <v>1</v>
      </c>
      <c r="O12" s="11">
        <f>Request!Q10</f>
        <v>55633.33</v>
      </c>
      <c r="P12" s="11">
        <f>Request!R10</f>
        <v>0</v>
      </c>
      <c r="Q12" s="13">
        <f>ROUND(L12*N12+O12+P12,2)</f>
        <v>222533.33</v>
      </c>
      <c r="R12" s="36"/>
      <c r="S12" s="81"/>
      <c r="Z12" s="51"/>
      <c r="AB12" s="86"/>
      <c r="AC12" s="87"/>
      <c r="AD12" s="87"/>
      <c r="AE12" s="87"/>
      <c r="AF12" s="87"/>
      <c r="AG12" s="88"/>
    </row>
    <row r="13" spans="1:33" ht="24.75" x14ac:dyDescent="0.25">
      <c r="C13" s="269" t="s">
        <v>186</v>
      </c>
      <c r="D13" s="269"/>
      <c r="E13" s="269"/>
      <c r="F13" s="123" t="s">
        <v>185</v>
      </c>
      <c r="G13" s="124" t="s">
        <v>184</v>
      </c>
      <c r="H13" s="124" t="s">
        <v>183</v>
      </c>
      <c r="I13" s="124"/>
      <c r="J13" s="121"/>
      <c r="K13" s="124"/>
      <c r="L13" s="3"/>
      <c r="M13" s="3"/>
      <c r="N13" s="3"/>
      <c r="O13" s="3"/>
      <c r="P13" s="1"/>
      <c r="Q13" s="3"/>
      <c r="R13" s="3"/>
      <c r="S13" s="3"/>
      <c r="T13" s="3"/>
      <c r="V13" s="3"/>
      <c r="X13" s="3"/>
      <c r="Z13" s="51"/>
      <c r="AB13" s="86"/>
      <c r="AC13" s="89" t="s">
        <v>156</v>
      </c>
      <c r="AD13" s="87"/>
      <c r="AE13" s="87"/>
      <c r="AF13" s="112">
        <f>J12</f>
        <v>131900</v>
      </c>
      <c r="AG13" s="88"/>
    </row>
    <row r="14" spans="1:33" ht="26.45" customHeight="1" x14ac:dyDescent="0.25">
      <c r="G14" s="4" t="s">
        <v>25</v>
      </c>
      <c r="H14" s="4"/>
      <c r="I14" s="4"/>
      <c r="J14" s="115">
        <f>ROUND(J12/12,2)</f>
        <v>10991.67</v>
      </c>
      <c r="K14" s="115">
        <f>ROUND(K12/12,2)</f>
        <v>2916.67</v>
      </c>
      <c r="L14" s="283">
        <f>ROUND(L12/12,2)</f>
        <v>13908.33</v>
      </c>
      <c r="M14" s="283"/>
      <c r="N14" s="20"/>
      <c r="O14" s="21">
        <f>ROUND(L12/9,2)</f>
        <v>18544.439999999999</v>
      </c>
      <c r="P14" s="115">
        <f>ROUND(P12/12,2)</f>
        <v>0</v>
      </c>
      <c r="Q14" s="20"/>
      <c r="R14" s="20"/>
      <c r="T14" s="274" t="s">
        <v>258</v>
      </c>
      <c r="U14" s="275"/>
      <c r="Z14" s="51"/>
      <c r="AB14" s="86"/>
      <c r="AC14" s="89" t="s">
        <v>157</v>
      </c>
      <c r="AD14" s="87"/>
      <c r="AE14" s="87"/>
      <c r="AF14" s="90">
        <f>G17</f>
        <v>3500</v>
      </c>
      <c r="AG14" s="88"/>
    </row>
    <row r="15" spans="1:33" x14ac:dyDescent="0.25">
      <c r="G15" s="4"/>
      <c r="H15" s="4"/>
      <c r="I15" s="4"/>
      <c r="J15" s="115"/>
      <c r="K15" s="115"/>
      <c r="L15" s="115"/>
      <c r="M15" s="115"/>
      <c r="N15" s="20"/>
      <c r="O15" s="21"/>
      <c r="P15" s="115"/>
      <c r="Q15" s="20"/>
      <c r="R15" s="20"/>
      <c r="T15" s="30" t="s">
        <v>178</v>
      </c>
      <c r="U15" s="31">
        <v>0.36299999999999999</v>
      </c>
      <c r="Z15" s="51"/>
      <c r="AB15" s="86"/>
      <c r="AC15" s="89" t="s">
        <v>26</v>
      </c>
      <c r="AD15" s="87"/>
      <c r="AE15" s="87"/>
      <c r="AF15" s="90">
        <f>AF13-AF14</f>
        <v>128400</v>
      </c>
      <c r="AG15" s="88"/>
    </row>
    <row r="16" spans="1:33" x14ac:dyDescent="0.25">
      <c r="G16" s="4"/>
      <c r="H16" s="4"/>
      <c r="I16" s="4"/>
      <c r="J16" s="115"/>
      <c r="K16" s="115"/>
      <c r="L16" s="115"/>
      <c r="M16" s="115"/>
      <c r="N16" s="20"/>
      <c r="O16" s="21"/>
      <c r="P16" s="115"/>
      <c r="Q16" s="20"/>
      <c r="R16" s="20"/>
      <c r="T16" s="30" t="s">
        <v>253</v>
      </c>
      <c r="U16" s="31">
        <v>0.36299999999999999</v>
      </c>
      <c r="V16" s="82"/>
      <c r="X16" s="82"/>
      <c r="Z16" s="51"/>
      <c r="AB16" s="86"/>
      <c r="AC16" s="89" t="s">
        <v>158</v>
      </c>
      <c r="AD16" s="87"/>
      <c r="AE16" s="87"/>
      <c r="AF16" s="90">
        <f>Q36</f>
        <v>0</v>
      </c>
      <c r="AG16" s="88"/>
    </row>
    <row r="17" spans="1:33" ht="15" customHeight="1" x14ac:dyDescent="0.25">
      <c r="A17" s="7" t="s">
        <v>17</v>
      </c>
      <c r="G17" s="28">
        <f>ROUND(0.1*K12*N12,0)</f>
        <v>3500</v>
      </c>
      <c r="H17" s="152"/>
      <c r="I17" s="152"/>
      <c r="K17" s="182" t="s">
        <v>27</v>
      </c>
      <c r="M17" s="80">
        <f>IFERROR(ROUND(K12/J12,4),0)</f>
        <v>0.26540000000000002</v>
      </c>
      <c r="O17" s="105" t="s">
        <v>28</v>
      </c>
      <c r="P17" s="106"/>
      <c r="Q17" s="185">
        <f>IF(ISERROR(ROUNDUP(N12*J12/L12,4)),0,ROUNDUP(N12*J12/L12,8))</f>
        <v>0.7902935900000001</v>
      </c>
      <c r="T17" s="30" t="s">
        <v>31</v>
      </c>
      <c r="U17" s="31">
        <v>9.0999999999999998E-2</v>
      </c>
      <c r="V17" s="82"/>
      <c r="X17" s="82"/>
      <c r="Z17" s="51"/>
      <c r="AB17" s="86"/>
      <c r="AC17" s="89" t="s">
        <v>29</v>
      </c>
      <c r="AD17" s="87"/>
      <c r="AE17" s="87"/>
      <c r="AF17" s="93">
        <f>AF15-AF16</f>
        <v>128400</v>
      </c>
      <c r="AG17" s="88"/>
    </row>
    <row r="18" spans="1:33" x14ac:dyDescent="0.25">
      <c r="A18" s="7"/>
      <c r="G18" s="38"/>
      <c r="H18" s="120"/>
      <c r="I18" s="120"/>
      <c r="O18" s="107" t="s">
        <v>30</v>
      </c>
      <c r="P18" s="108"/>
      <c r="Q18" s="186">
        <f>(1*N12)-Q17</f>
        <v>0.2097064099999999</v>
      </c>
      <c r="T18" s="32" t="s">
        <v>33</v>
      </c>
      <c r="U18" s="33">
        <v>0.36299999999999999</v>
      </c>
      <c r="Z18" s="51"/>
      <c r="AB18" s="116"/>
      <c r="AC18" s="117"/>
      <c r="AD18" s="117"/>
      <c r="AE18" s="117"/>
      <c r="AF18" s="118"/>
      <c r="AG18" s="119"/>
    </row>
    <row r="19" spans="1:33" x14ac:dyDescent="0.25">
      <c r="A19" s="7" t="s">
        <v>179</v>
      </c>
      <c r="G19" s="28">
        <f>0.5*J12*N12</f>
        <v>65950</v>
      </c>
      <c r="H19" s="152"/>
      <c r="I19" s="152"/>
      <c r="V19" s="273" t="s">
        <v>232</v>
      </c>
      <c r="W19" s="273"/>
      <c r="Z19" s="51"/>
    </row>
    <row r="20" spans="1:33" x14ac:dyDescent="0.25">
      <c r="A20" s="7"/>
      <c r="G20" s="39"/>
      <c r="H20" s="39"/>
      <c r="I20" s="39"/>
      <c r="V20" s="273"/>
      <c r="W20" s="273"/>
      <c r="Z20" s="51"/>
    </row>
    <row r="21" spans="1:33" ht="15.75" x14ac:dyDescent="0.25">
      <c r="A21" s="15" t="s">
        <v>180</v>
      </c>
      <c r="B21" s="16"/>
      <c r="C21" s="16"/>
      <c r="D21" s="16"/>
      <c r="E21" s="16"/>
      <c r="F21" s="16"/>
      <c r="G21" s="16"/>
      <c r="H21" s="16"/>
      <c r="I21" s="16"/>
      <c r="J21" s="16"/>
      <c r="K21" s="16"/>
      <c r="L21" s="16"/>
      <c r="M21" s="16"/>
      <c r="N21" s="16"/>
      <c r="O21" s="16"/>
      <c r="P21" s="16"/>
      <c r="Q21" s="16"/>
      <c r="Z21" s="51"/>
    </row>
    <row r="22" spans="1:33" ht="15.75" x14ac:dyDescent="0.25">
      <c r="A22" s="78"/>
      <c r="B22" s="37"/>
      <c r="C22" s="37"/>
      <c r="D22" s="37"/>
      <c r="E22" s="37"/>
      <c r="F22" s="37"/>
      <c r="G22" s="37"/>
      <c r="H22" s="37"/>
      <c r="I22" s="37"/>
      <c r="J22" s="37"/>
      <c r="K22" s="37"/>
      <c r="L22" s="37"/>
      <c r="M22" s="37"/>
      <c r="N22" s="37"/>
      <c r="O22" s="37"/>
      <c r="P22" s="37"/>
      <c r="Q22" s="37"/>
      <c r="R22" s="37"/>
      <c r="S22" s="37"/>
      <c r="V22" s="14" t="s">
        <v>233</v>
      </c>
      <c r="Z22" s="51"/>
      <c r="AF22" s="83"/>
    </row>
    <row r="23" spans="1:33" x14ac:dyDescent="0.25">
      <c r="A23" s="7" t="s">
        <v>32</v>
      </c>
      <c r="Z23" s="51"/>
    </row>
    <row r="24" spans="1:33" ht="44.25" customHeight="1" x14ac:dyDescent="0.25">
      <c r="A24" s="273" t="s">
        <v>34</v>
      </c>
      <c r="B24" s="273"/>
      <c r="C24" s="273"/>
      <c r="D24" s="273"/>
      <c r="E24" s="273"/>
      <c r="F24" s="273"/>
      <c r="G24" s="273"/>
      <c r="H24" s="273"/>
      <c r="I24" s="273"/>
      <c r="J24" s="273"/>
      <c r="K24" s="273"/>
      <c r="L24" s="273"/>
      <c r="M24" s="273"/>
      <c r="N24" s="273"/>
      <c r="O24" s="273"/>
      <c r="P24" s="273"/>
      <c r="Q24" s="273"/>
      <c r="T24" s="92"/>
      <c r="V24" s="14" t="s">
        <v>232</v>
      </c>
      <c r="Z24" s="51"/>
    </row>
    <row r="25" spans="1:33" ht="8.1" customHeight="1" x14ac:dyDescent="0.25">
      <c r="A25" s="113"/>
      <c r="B25" s="113"/>
      <c r="C25" s="113"/>
      <c r="D25" s="113"/>
      <c r="E25" s="113"/>
      <c r="F25" s="113"/>
      <c r="G25" s="113"/>
      <c r="H25" s="113"/>
      <c r="I25" s="113"/>
      <c r="J25" s="113"/>
      <c r="K25" s="113"/>
      <c r="L25" s="113"/>
      <c r="M25" s="113"/>
      <c r="N25" s="113"/>
      <c r="O25" s="113"/>
      <c r="P25" s="113"/>
      <c r="Q25" s="113"/>
      <c r="T25" s="92"/>
      <c r="Z25" s="51"/>
    </row>
    <row r="26" spans="1:33" ht="30" customHeight="1" x14ac:dyDescent="0.25">
      <c r="A26" s="94" t="s">
        <v>215</v>
      </c>
      <c r="B26" s="277" t="s">
        <v>216</v>
      </c>
      <c r="C26" s="277"/>
      <c r="D26" s="277"/>
      <c r="E26" s="277"/>
      <c r="F26" s="277"/>
      <c r="G26" s="277"/>
      <c r="H26" s="277"/>
      <c r="I26" s="277"/>
      <c r="J26" s="277"/>
      <c r="K26" s="277"/>
      <c r="L26" s="277"/>
      <c r="M26" s="277"/>
      <c r="N26" s="277"/>
      <c r="O26" s="277"/>
      <c r="P26" s="277"/>
      <c r="Q26" s="277"/>
      <c r="T26" s="92"/>
      <c r="Z26" s="51"/>
    </row>
    <row r="27" spans="1:33" ht="8.1" customHeight="1" x14ac:dyDescent="0.25">
      <c r="A27" s="113"/>
      <c r="B27" s="113"/>
      <c r="C27" s="113"/>
      <c r="D27" s="113"/>
      <c r="E27" s="113"/>
      <c r="F27" s="113"/>
      <c r="G27" s="113"/>
      <c r="H27" s="113"/>
      <c r="I27" s="113"/>
      <c r="J27" s="113"/>
      <c r="K27" s="113"/>
      <c r="L27" s="113"/>
      <c r="M27" s="113"/>
      <c r="N27" s="113"/>
      <c r="O27" s="113"/>
      <c r="P27" s="113"/>
      <c r="Q27" s="113"/>
      <c r="T27" s="92"/>
      <c r="Z27" s="51"/>
    </row>
    <row r="28" spans="1:33" ht="30" x14ac:dyDescent="0.25">
      <c r="A28" s="23" t="s">
        <v>231</v>
      </c>
      <c r="B28" s="23" t="s">
        <v>35</v>
      </c>
      <c r="C28" s="278" t="s">
        <v>36</v>
      </c>
      <c r="D28" s="278"/>
      <c r="E28" s="179" t="s">
        <v>230</v>
      </c>
      <c r="F28" s="23" t="s">
        <v>234</v>
      </c>
      <c r="G28" s="23" t="s">
        <v>232</v>
      </c>
      <c r="H28" s="23" t="s">
        <v>233</v>
      </c>
      <c r="I28" s="179" t="s">
        <v>237</v>
      </c>
      <c r="J28" s="23" t="s">
        <v>37</v>
      </c>
      <c r="K28" s="23" t="s">
        <v>38</v>
      </c>
      <c r="L28" s="23" t="s">
        <v>39</v>
      </c>
      <c r="M28" s="23" t="s">
        <v>40</v>
      </c>
      <c r="N28" s="23" t="s">
        <v>41</v>
      </c>
      <c r="O28" s="23"/>
      <c r="P28" s="23"/>
      <c r="Q28" s="23" t="s">
        <v>42</v>
      </c>
      <c r="R28" s="23" t="s">
        <v>40</v>
      </c>
      <c r="S28" s="23" t="s">
        <v>43</v>
      </c>
      <c r="T28" s="23" t="s">
        <v>44</v>
      </c>
      <c r="V28" s="23" t="s">
        <v>45</v>
      </c>
      <c r="X28" s="23" t="s">
        <v>46</v>
      </c>
      <c r="Z28" s="51"/>
      <c r="AB28" s="50" t="s">
        <v>47</v>
      </c>
      <c r="AC28" s="40"/>
      <c r="AD28" s="40"/>
      <c r="AE28" s="40"/>
      <c r="AF28" s="40"/>
      <c r="AG28" s="41"/>
    </row>
    <row r="29" spans="1:33" ht="5.45" customHeight="1" x14ac:dyDescent="0.25">
      <c r="J29" s="22"/>
      <c r="K29" s="22"/>
      <c r="L29" s="22"/>
      <c r="M29" s="22"/>
      <c r="N29" s="22"/>
      <c r="O29" s="22"/>
      <c r="P29" s="22"/>
      <c r="Q29" s="22"/>
      <c r="R29" s="128"/>
      <c r="S29" s="128"/>
      <c r="V29" s="22"/>
      <c r="Z29" s="51"/>
      <c r="AB29" s="42"/>
      <c r="AC29" s="43"/>
      <c r="AD29" s="43"/>
      <c r="AE29" s="43"/>
      <c r="AF29" s="43"/>
      <c r="AG29" s="44"/>
    </row>
    <row r="30" spans="1:33" x14ac:dyDescent="0.25">
      <c r="A30" s="220"/>
      <c r="B30" s="221"/>
      <c r="C30" s="276"/>
      <c r="D30" s="276"/>
      <c r="E30" s="220"/>
      <c r="F30" s="220"/>
      <c r="G30" s="220"/>
      <c r="H30" s="220"/>
      <c r="I30" s="220"/>
      <c r="J30" s="151"/>
      <c r="K30" s="151"/>
      <c r="L30" s="22" t="str">
        <f t="shared" ref="L30:L35" si="0">IF(J30="","",DATEDIF(J30,K30,"m")+1)</f>
        <v/>
      </c>
      <c r="M30" s="222"/>
      <c r="N30" s="24" t="str">
        <f t="shared" ref="N30:N35" si="1">IF(J30="","",$L$14)</f>
        <v/>
      </c>
      <c r="O30" s="24"/>
      <c r="Q30" s="24" t="str">
        <f t="shared" ref="Q30:Q35" si="2">IF(ISERROR(L30*M30*N30),"",IF(AND(O30="",P30=""),L30*ROUND(ROUND(M30,8)*N30,2),IF(P30="",L30*ROUND(ROUND(M30,8)*O30,2),L30*P30)))</f>
        <v/>
      </c>
      <c r="R30" s="187" t="str">
        <f t="shared" ref="R30:R35" si="3">IF(ISERROR(L30*M30),"",(L30*M30)/12)</f>
        <v/>
      </c>
      <c r="S30" s="187" t="str">
        <f t="shared" ref="S30:S35" si="4">IFERROR(R30*0.75,"")</f>
        <v/>
      </c>
      <c r="T30" s="223"/>
      <c r="V30" s="24" t="str">
        <f t="shared" ref="V30:V35" si="5">IF(Q30="","",ROUND(Q30*$U$15,2))</f>
        <v/>
      </c>
      <c r="X30" s="24" t="str">
        <f t="shared" ref="X30:X35" si="6">IF(Q30="","",Q30+V30)</f>
        <v/>
      </c>
      <c r="Z30" s="51"/>
      <c r="AB30" s="42"/>
      <c r="AC30" s="43"/>
      <c r="AD30" s="43"/>
      <c r="AE30" s="43"/>
      <c r="AF30" s="43"/>
      <c r="AG30" s="44"/>
    </row>
    <row r="31" spans="1:33" x14ac:dyDescent="0.25">
      <c r="A31" s="220"/>
      <c r="B31" s="221"/>
      <c r="C31" s="276"/>
      <c r="D31" s="276"/>
      <c r="E31" s="220"/>
      <c r="F31" s="220"/>
      <c r="G31" s="220"/>
      <c r="H31" s="220"/>
      <c r="I31" s="220"/>
      <c r="J31" s="151"/>
      <c r="K31" s="151"/>
      <c r="L31" s="22" t="str">
        <f t="shared" si="0"/>
        <v/>
      </c>
      <c r="M31" s="222"/>
      <c r="N31" s="24" t="str">
        <f t="shared" si="1"/>
        <v/>
      </c>
      <c r="Q31" s="24" t="str">
        <f t="shared" si="2"/>
        <v/>
      </c>
      <c r="R31" s="187" t="str">
        <f t="shared" si="3"/>
        <v/>
      </c>
      <c r="S31" s="187" t="str">
        <f t="shared" si="4"/>
        <v/>
      </c>
      <c r="T31" s="223"/>
      <c r="V31" s="24" t="str">
        <f t="shared" si="5"/>
        <v/>
      </c>
      <c r="X31" s="24" t="str">
        <f t="shared" si="6"/>
        <v/>
      </c>
      <c r="Z31" s="51"/>
      <c r="AB31" s="42" t="s">
        <v>49</v>
      </c>
      <c r="AC31" s="43"/>
      <c r="AD31" s="43"/>
      <c r="AE31" s="43"/>
      <c r="AF31" s="45">
        <v>50000</v>
      </c>
      <c r="AG31" s="44"/>
    </row>
    <row r="32" spans="1:33" x14ac:dyDescent="0.25">
      <c r="A32" s="220"/>
      <c r="B32" s="221"/>
      <c r="C32" s="276"/>
      <c r="D32" s="276"/>
      <c r="E32" s="220"/>
      <c r="F32" s="220"/>
      <c r="G32" s="220"/>
      <c r="H32" s="220"/>
      <c r="I32" s="220"/>
      <c r="J32" s="151"/>
      <c r="K32" s="151"/>
      <c r="L32" s="22" t="str">
        <f t="shared" si="0"/>
        <v/>
      </c>
      <c r="M32" s="222"/>
      <c r="N32" s="24" t="str">
        <f t="shared" si="1"/>
        <v/>
      </c>
      <c r="Q32" s="24" t="str">
        <f t="shared" si="2"/>
        <v/>
      </c>
      <c r="R32" s="187" t="str">
        <f t="shared" si="3"/>
        <v/>
      </c>
      <c r="S32" s="187" t="str">
        <f t="shared" si="4"/>
        <v/>
      </c>
      <c r="T32" s="223"/>
      <c r="V32" s="24" t="str">
        <f t="shared" si="5"/>
        <v/>
      </c>
      <c r="X32" s="24" t="str">
        <f t="shared" si="6"/>
        <v/>
      </c>
      <c r="Z32" s="51"/>
      <c r="AB32" s="42" t="s">
        <v>50</v>
      </c>
      <c r="AC32" s="43"/>
      <c r="AD32" s="43"/>
      <c r="AE32" s="43"/>
      <c r="AF32" s="43">
        <v>12</v>
      </c>
      <c r="AG32" s="44"/>
    </row>
    <row r="33" spans="1:33" x14ac:dyDescent="0.25">
      <c r="A33" s="220"/>
      <c r="B33" s="221"/>
      <c r="C33" s="276"/>
      <c r="D33" s="276"/>
      <c r="E33" s="220"/>
      <c r="F33" s="220"/>
      <c r="G33" s="220"/>
      <c r="H33" s="220"/>
      <c r="I33" s="220"/>
      <c r="J33" s="151"/>
      <c r="K33" s="151"/>
      <c r="L33" s="22" t="str">
        <f t="shared" si="0"/>
        <v/>
      </c>
      <c r="M33" s="222"/>
      <c r="N33" s="24" t="str">
        <f t="shared" si="1"/>
        <v/>
      </c>
      <c r="Q33" s="24" t="str">
        <f t="shared" si="2"/>
        <v/>
      </c>
      <c r="R33" s="187" t="str">
        <f t="shared" si="3"/>
        <v/>
      </c>
      <c r="S33" s="187" t="str">
        <f t="shared" si="4"/>
        <v/>
      </c>
      <c r="T33" s="223"/>
      <c r="V33" s="24" t="str">
        <f t="shared" si="5"/>
        <v/>
      </c>
      <c r="X33" s="24" t="str">
        <f t="shared" si="6"/>
        <v/>
      </c>
      <c r="Z33" s="51"/>
      <c r="AB33" s="42" t="s">
        <v>51</v>
      </c>
      <c r="AC33" s="43"/>
      <c r="AD33" s="43"/>
      <c r="AE33" s="43"/>
      <c r="AF33" s="45">
        <v>9000</v>
      </c>
      <c r="AG33" s="44"/>
    </row>
    <row r="34" spans="1:33" x14ac:dyDescent="0.25">
      <c r="A34" s="220"/>
      <c r="B34" s="221"/>
      <c r="C34" s="276"/>
      <c r="D34" s="276"/>
      <c r="E34" s="220"/>
      <c r="F34" s="220"/>
      <c r="G34" s="220"/>
      <c r="H34" s="220"/>
      <c r="I34" s="220"/>
      <c r="J34" s="151"/>
      <c r="K34" s="151"/>
      <c r="L34" s="22" t="str">
        <f t="shared" si="0"/>
        <v/>
      </c>
      <c r="M34" s="222"/>
      <c r="N34" s="24" t="str">
        <f t="shared" si="1"/>
        <v/>
      </c>
      <c r="Q34" s="24" t="str">
        <f t="shared" si="2"/>
        <v/>
      </c>
      <c r="R34" s="187" t="str">
        <f t="shared" si="3"/>
        <v/>
      </c>
      <c r="S34" s="187" t="str">
        <f t="shared" si="4"/>
        <v/>
      </c>
      <c r="T34" s="223"/>
      <c r="V34" s="24" t="str">
        <f t="shared" si="5"/>
        <v/>
      </c>
      <c r="X34" s="24" t="str">
        <f t="shared" si="6"/>
        <v/>
      </c>
      <c r="Z34" s="51"/>
      <c r="AB34" s="42" t="s">
        <v>52</v>
      </c>
      <c r="AC34" s="43"/>
      <c r="AD34" s="43"/>
      <c r="AE34" s="43"/>
      <c r="AF34" s="43">
        <f>ROUND(AF31/AF32/AF33,4)</f>
        <v>0.46300000000000002</v>
      </c>
      <c r="AG34" s="44"/>
    </row>
    <row r="35" spans="1:33" x14ac:dyDescent="0.25">
      <c r="A35" s="220"/>
      <c r="B35" s="221"/>
      <c r="C35" s="276"/>
      <c r="D35" s="276"/>
      <c r="E35" s="220"/>
      <c r="F35" s="220"/>
      <c r="G35" s="220"/>
      <c r="H35" s="220"/>
      <c r="I35" s="220"/>
      <c r="J35" s="151"/>
      <c r="K35" s="151"/>
      <c r="L35" s="22" t="str">
        <f t="shared" si="0"/>
        <v/>
      </c>
      <c r="M35" s="222"/>
      <c r="N35" s="24" t="str">
        <f t="shared" si="1"/>
        <v/>
      </c>
      <c r="Q35" s="24" t="str">
        <f t="shared" si="2"/>
        <v/>
      </c>
      <c r="R35" s="187" t="str">
        <f t="shared" si="3"/>
        <v/>
      </c>
      <c r="S35" s="187" t="str">
        <f t="shared" si="4"/>
        <v/>
      </c>
      <c r="T35" s="223"/>
      <c r="V35" s="24" t="str">
        <f t="shared" si="5"/>
        <v/>
      </c>
      <c r="X35" s="24" t="str">
        <f t="shared" si="6"/>
        <v/>
      </c>
      <c r="Z35" s="51"/>
      <c r="AB35" s="42"/>
      <c r="AC35" s="43"/>
      <c r="AD35" s="43"/>
      <c r="AE35" s="43"/>
      <c r="AF35" s="43"/>
      <c r="AG35" s="44"/>
    </row>
    <row r="36" spans="1:33" x14ac:dyDescent="0.25">
      <c r="A36" s="14"/>
      <c r="B36" s="14"/>
      <c r="C36" s="14"/>
      <c r="D36" s="14"/>
      <c r="E36" s="14"/>
      <c r="F36" s="14"/>
      <c r="G36" s="14"/>
      <c r="H36" s="14"/>
      <c r="I36" s="14"/>
      <c r="J36" s="14"/>
      <c r="K36" s="14"/>
      <c r="L36" s="14"/>
      <c r="M36" s="27"/>
      <c r="N36" s="25"/>
      <c r="O36" s="14"/>
      <c r="P36" s="14"/>
      <c r="Q36" s="25">
        <f>SUM(Q30:Q35)</f>
        <v>0</v>
      </c>
      <c r="R36" s="188">
        <f>SUM(R30:R35)</f>
        <v>0</v>
      </c>
      <c r="S36" s="188">
        <f>SUM(S30:S35)</f>
        <v>0</v>
      </c>
      <c r="T36" s="14"/>
      <c r="V36" s="25">
        <f>SUM(V30:V35)</f>
        <v>0</v>
      </c>
      <c r="X36" s="25">
        <f>SUM(X30:X35)</f>
        <v>0</v>
      </c>
      <c r="Z36" s="51"/>
      <c r="AB36" s="42" t="s">
        <v>53</v>
      </c>
      <c r="AC36" s="43"/>
      <c r="AD36" s="43"/>
      <c r="AE36" s="43"/>
      <c r="AF36" s="45">
        <f>ROUND(AF34*AF33,2)*AF32</f>
        <v>50004</v>
      </c>
      <c r="AG36" s="44"/>
    </row>
    <row r="37" spans="1:33" x14ac:dyDescent="0.25">
      <c r="M37" s="29"/>
      <c r="N37" s="24"/>
      <c r="P37" s="20" t="s">
        <v>54</v>
      </c>
      <c r="Q37" s="26">
        <f>0.5*J12*N12</f>
        <v>65950</v>
      </c>
      <c r="R37" s="26"/>
      <c r="S37" s="26"/>
      <c r="Z37" s="51"/>
      <c r="AB37" s="46"/>
      <c r="AC37" s="47"/>
      <c r="AD37" s="47"/>
      <c r="AE37" s="47"/>
      <c r="AF37" s="47"/>
      <c r="AG37" s="48"/>
    </row>
    <row r="38" spans="1:33" x14ac:dyDescent="0.25">
      <c r="P38" s="20" t="s">
        <v>55</v>
      </c>
      <c r="Q38" s="26">
        <f>J12*N12-G17</f>
        <v>128400</v>
      </c>
      <c r="R38" s="26"/>
      <c r="S38" s="26"/>
      <c r="Z38" s="51"/>
    </row>
    <row r="39" spans="1:33" ht="15" customHeight="1" x14ac:dyDescent="0.25">
      <c r="A39" s="7" t="s">
        <v>56</v>
      </c>
      <c r="T39" s="92"/>
      <c r="Z39" s="51"/>
    </row>
    <row r="40" spans="1:33" ht="30" customHeight="1" x14ac:dyDescent="0.25">
      <c r="A40" s="273" t="s">
        <v>57</v>
      </c>
      <c r="B40" s="273"/>
      <c r="C40" s="273"/>
      <c r="D40" s="273"/>
      <c r="E40" s="273"/>
      <c r="F40" s="273"/>
      <c r="G40" s="273"/>
      <c r="H40" s="273"/>
      <c r="I40" s="273"/>
      <c r="J40" s="273"/>
      <c r="K40" s="273"/>
      <c r="L40" s="273"/>
      <c r="M40" s="273"/>
      <c r="N40" s="273"/>
      <c r="O40" s="273"/>
      <c r="P40" s="273"/>
      <c r="Q40" s="273"/>
      <c r="T40" s="92"/>
      <c r="Z40" s="51"/>
    </row>
    <row r="41" spans="1:33" ht="8.1" customHeight="1" x14ac:dyDescent="0.25">
      <c r="A41" s="113"/>
      <c r="B41" s="113"/>
      <c r="C41" s="113"/>
      <c r="D41" s="113"/>
      <c r="E41" s="113"/>
      <c r="F41" s="113"/>
      <c r="G41" s="113"/>
      <c r="H41" s="113"/>
      <c r="I41" s="113"/>
      <c r="J41" s="113"/>
      <c r="K41" s="113"/>
      <c r="L41" s="113"/>
      <c r="M41" s="113"/>
      <c r="N41" s="113"/>
      <c r="O41" s="113"/>
      <c r="P41" s="113"/>
      <c r="Q41" s="113"/>
      <c r="T41" s="92"/>
      <c r="Z41" s="51"/>
    </row>
    <row r="42" spans="1:33" ht="22.9" customHeight="1" x14ac:dyDescent="0.25">
      <c r="A42" s="181" t="s">
        <v>215</v>
      </c>
      <c r="B42" s="277" t="s">
        <v>216</v>
      </c>
      <c r="C42" s="277"/>
      <c r="D42" s="277"/>
      <c r="E42" s="277"/>
      <c r="F42" s="277"/>
      <c r="G42" s="277"/>
      <c r="H42" s="277"/>
      <c r="I42" s="277"/>
      <c r="J42" s="277"/>
      <c r="K42" s="277"/>
      <c r="L42" s="277"/>
      <c r="M42" s="277"/>
      <c r="N42" s="277"/>
      <c r="O42" s="277"/>
      <c r="P42" s="277"/>
      <c r="Q42" s="277"/>
      <c r="T42" s="92"/>
      <c r="Z42" s="51"/>
    </row>
    <row r="43" spans="1:33" ht="8.1" customHeight="1" x14ac:dyDescent="0.25">
      <c r="A43" s="113"/>
      <c r="B43" s="113"/>
      <c r="C43" s="113"/>
      <c r="D43" s="113"/>
      <c r="E43" s="113"/>
      <c r="F43" s="113"/>
      <c r="G43" s="113"/>
      <c r="H43" s="113"/>
      <c r="I43" s="113"/>
      <c r="J43" s="113"/>
      <c r="K43" s="113"/>
      <c r="L43" s="113"/>
      <c r="M43" s="113"/>
      <c r="N43" s="113"/>
      <c r="O43" s="113"/>
      <c r="P43" s="113"/>
      <c r="Q43" s="113"/>
      <c r="T43" s="92"/>
      <c r="Z43" s="51"/>
    </row>
    <row r="44" spans="1:33" ht="30" x14ac:dyDescent="0.25">
      <c r="A44" s="23" t="s">
        <v>231</v>
      </c>
      <c r="B44" s="23" t="s">
        <v>35</v>
      </c>
      <c r="C44" s="278" t="s">
        <v>36</v>
      </c>
      <c r="D44" s="278"/>
      <c r="E44" s="179" t="s">
        <v>230</v>
      </c>
      <c r="F44" s="23" t="s">
        <v>234</v>
      </c>
      <c r="G44" s="23" t="s">
        <v>232</v>
      </c>
      <c r="H44" s="23" t="s">
        <v>233</v>
      </c>
      <c r="I44" s="179" t="s">
        <v>237</v>
      </c>
      <c r="J44" s="23" t="s">
        <v>37</v>
      </c>
      <c r="K44" s="23" t="s">
        <v>38</v>
      </c>
      <c r="L44" s="23" t="s">
        <v>39</v>
      </c>
      <c r="M44" s="23" t="s">
        <v>40</v>
      </c>
      <c r="N44" s="23" t="s">
        <v>41</v>
      </c>
      <c r="O44" s="23" t="s">
        <v>58</v>
      </c>
      <c r="P44" s="23" t="s">
        <v>59</v>
      </c>
      <c r="Q44" s="23" t="s">
        <v>42</v>
      </c>
      <c r="R44" s="23" t="s">
        <v>40</v>
      </c>
      <c r="S44" s="23" t="s">
        <v>43</v>
      </c>
      <c r="T44" s="23" t="s">
        <v>44</v>
      </c>
      <c r="V44" s="23" t="s">
        <v>45</v>
      </c>
      <c r="X44" s="23" t="s">
        <v>46</v>
      </c>
      <c r="Z44" s="51"/>
      <c r="AB44" s="52" t="s">
        <v>60</v>
      </c>
      <c r="AC44" s="53"/>
      <c r="AD44" s="53"/>
      <c r="AE44" s="53"/>
      <c r="AF44" s="53"/>
      <c r="AG44" s="54"/>
    </row>
    <row r="45" spans="1:33" ht="9" customHeight="1" x14ac:dyDescent="0.25">
      <c r="J45" s="22"/>
      <c r="K45" s="22"/>
      <c r="L45" s="22"/>
      <c r="M45" s="22"/>
      <c r="N45" s="22"/>
      <c r="O45" s="22"/>
      <c r="P45" s="22"/>
      <c r="Q45" s="22"/>
      <c r="R45" s="187"/>
      <c r="S45" s="187"/>
      <c r="V45" s="22"/>
      <c r="Z45" s="51"/>
      <c r="AB45" s="55"/>
      <c r="AC45" s="56"/>
      <c r="AD45" s="56"/>
      <c r="AE45" s="56"/>
      <c r="AF45" s="56"/>
      <c r="AG45" s="57"/>
    </row>
    <row r="46" spans="1:33" x14ac:dyDescent="0.25">
      <c r="A46" s="220"/>
      <c r="B46" s="221"/>
      <c r="C46" s="276"/>
      <c r="D46" s="276"/>
      <c r="E46" s="224"/>
      <c r="F46" s="220"/>
      <c r="G46" s="220"/>
      <c r="H46" s="220"/>
      <c r="I46" s="220"/>
      <c r="J46" s="151"/>
      <c r="K46" s="151"/>
      <c r="L46" s="22" t="str">
        <f t="shared" ref="L46:L52" si="7">IF(J46="","",DATEDIF(J46,K46,"m")+1)</f>
        <v/>
      </c>
      <c r="M46" s="222"/>
      <c r="N46" s="24" t="str">
        <f t="shared" ref="N46:N52" si="8">IF(J46="","",$L$14)</f>
        <v/>
      </c>
      <c r="O46" s="225"/>
      <c r="P46" s="225"/>
      <c r="Q46" s="24" t="str">
        <f>IF(ISERROR(L46*M46*N46),"",IF(AND(O46="",P46=""),L46*ROUND(ROUND(M46,8)*N46,2),IF(P46="",L46*ROUND(ROUND(M46,8)*O46,2),L46*P46)))</f>
        <v/>
      </c>
      <c r="R46" s="187" t="str">
        <f t="shared" ref="R46:R52" si="9">IF(ISERROR(L46*M46),"",(L46*M46)/12)</f>
        <v/>
      </c>
      <c r="S46" s="187" t="str">
        <f t="shared" ref="S46:S52" si="10">IFERROR(R46*0.75,"")</f>
        <v/>
      </c>
      <c r="T46" s="223"/>
      <c r="V46" s="24" t="str">
        <f t="shared" ref="V46:V52" si="11">IF(Q46="","",ROUND(Q46*$U$15,2))</f>
        <v/>
      </c>
      <c r="X46" s="24" t="str">
        <f t="shared" ref="X46:X52" si="12">IF(Q46="","",Q46+V46)</f>
        <v/>
      </c>
      <c r="Z46" s="51"/>
      <c r="AB46" s="72" t="s">
        <v>61</v>
      </c>
      <c r="AC46" s="56"/>
      <c r="AD46" s="56"/>
      <c r="AE46" s="56"/>
      <c r="AF46" s="56"/>
      <c r="AG46" s="57"/>
    </row>
    <row r="47" spans="1:33" x14ac:dyDescent="0.25">
      <c r="A47" s="220"/>
      <c r="B47" s="221"/>
      <c r="C47" s="276"/>
      <c r="D47" s="276"/>
      <c r="E47" s="220"/>
      <c r="F47" s="220"/>
      <c r="G47" s="220"/>
      <c r="H47" s="220"/>
      <c r="I47" s="220"/>
      <c r="J47" s="151"/>
      <c r="K47" s="151"/>
      <c r="L47" s="22" t="str">
        <f t="shared" si="7"/>
        <v/>
      </c>
      <c r="M47" s="222"/>
      <c r="N47" s="24" t="str">
        <f t="shared" si="8"/>
        <v/>
      </c>
      <c r="O47" s="225"/>
      <c r="P47" s="225"/>
      <c r="Q47" s="24" t="str">
        <f t="shared" ref="Q47:Q52" si="13">IF(ISERROR(L47*M47*N47),"",IF(AND(O47="",P47=""),L47*ROUND(ROUND(M47,8)*N47,2),IF(P47="",L47*ROUND(ROUND(M47,8)*O47,2),L47*P47)))</f>
        <v/>
      </c>
      <c r="R47" s="187" t="str">
        <f t="shared" si="9"/>
        <v/>
      </c>
      <c r="S47" s="187" t="str">
        <f t="shared" si="10"/>
        <v/>
      </c>
      <c r="T47" s="223"/>
      <c r="V47" s="24" t="str">
        <f t="shared" si="11"/>
        <v/>
      </c>
      <c r="X47" s="24" t="str">
        <f t="shared" si="12"/>
        <v/>
      </c>
      <c r="Z47" s="51"/>
      <c r="AB47" s="55"/>
      <c r="AC47" s="56"/>
      <c r="AD47" s="56"/>
      <c r="AE47" s="56"/>
      <c r="AF47" s="56"/>
      <c r="AG47" s="57"/>
    </row>
    <row r="48" spans="1:33" x14ac:dyDescent="0.25">
      <c r="A48" s="220"/>
      <c r="B48" s="221"/>
      <c r="C48" s="276"/>
      <c r="D48" s="276"/>
      <c r="E48" s="220"/>
      <c r="F48" s="220"/>
      <c r="G48" s="220"/>
      <c r="H48" s="220"/>
      <c r="I48" s="220"/>
      <c r="J48" s="151"/>
      <c r="K48" s="151"/>
      <c r="L48" s="22" t="str">
        <f t="shared" si="7"/>
        <v/>
      </c>
      <c r="M48" s="222"/>
      <c r="N48" s="24" t="str">
        <f t="shared" si="8"/>
        <v/>
      </c>
      <c r="O48" s="225"/>
      <c r="P48" s="225"/>
      <c r="Q48" s="24" t="str">
        <f t="shared" si="13"/>
        <v/>
      </c>
      <c r="R48" s="187" t="str">
        <f t="shared" si="9"/>
        <v/>
      </c>
      <c r="S48" s="187" t="str">
        <f t="shared" si="10"/>
        <v/>
      </c>
      <c r="T48" s="223"/>
      <c r="V48" s="24" t="str">
        <f t="shared" si="11"/>
        <v/>
      </c>
      <c r="X48" s="24" t="str">
        <f t="shared" si="12"/>
        <v/>
      </c>
      <c r="Z48" s="51"/>
      <c r="AB48" s="55" t="s">
        <v>62</v>
      </c>
      <c r="AC48" s="56"/>
      <c r="AD48" s="56"/>
      <c r="AE48" s="56"/>
      <c r="AF48" s="56"/>
      <c r="AG48" s="58">
        <v>197300</v>
      </c>
    </row>
    <row r="49" spans="1:39" x14ac:dyDescent="0.25">
      <c r="A49" s="220"/>
      <c r="B49" s="221"/>
      <c r="C49" s="276"/>
      <c r="D49" s="276"/>
      <c r="E49" s="220"/>
      <c r="F49" s="220"/>
      <c r="G49" s="220"/>
      <c r="H49" s="220"/>
      <c r="I49" s="220"/>
      <c r="J49" s="151"/>
      <c r="K49" s="151"/>
      <c r="L49" s="22" t="str">
        <f t="shared" si="7"/>
        <v/>
      </c>
      <c r="M49" s="222"/>
      <c r="N49" s="24" t="str">
        <f t="shared" si="8"/>
        <v/>
      </c>
      <c r="O49" s="225"/>
      <c r="P49" s="225"/>
      <c r="Q49" s="24" t="str">
        <f t="shared" si="13"/>
        <v/>
      </c>
      <c r="R49" s="187" t="str">
        <f t="shared" si="9"/>
        <v/>
      </c>
      <c r="S49" s="187" t="str">
        <f t="shared" si="10"/>
        <v/>
      </c>
      <c r="T49" s="223"/>
      <c r="V49" s="24" t="str">
        <f t="shared" si="11"/>
        <v/>
      </c>
      <c r="X49" s="24" t="str">
        <f t="shared" si="12"/>
        <v/>
      </c>
      <c r="Z49" s="51"/>
      <c r="AB49" s="55"/>
      <c r="AC49" s="56"/>
      <c r="AD49" s="56"/>
      <c r="AE49" s="56"/>
      <c r="AF49" s="56"/>
      <c r="AG49" s="57"/>
    </row>
    <row r="50" spans="1:39" x14ac:dyDescent="0.25">
      <c r="A50" s="220"/>
      <c r="B50" s="221"/>
      <c r="C50" s="276"/>
      <c r="D50" s="276"/>
      <c r="E50" s="220"/>
      <c r="F50" s="220"/>
      <c r="G50" s="220"/>
      <c r="H50" s="220"/>
      <c r="I50" s="220"/>
      <c r="J50" s="151"/>
      <c r="K50" s="151"/>
      <c r="L50" s="22" t="str">
        <f t="shared" si="7"/>
        <v/>
      </c>
      <c r="M50" s="222"/>
      <c r="N50" s="24" t="str">
        <f t="shared" si="8"/>
        <v/>
      </c>
      <c r="O50" s="225"/>
      <c r="P50" s="225"/>
      <c r="Q50" s="24" t="str">
        <f t="shared" si="13"/>
        <v/>
      </c>
      <c r="R50" s="187" t="str">
        <f t="shared" si="9"/>
        <v/>
      </c>
      <c r="S50" s="187" t="str">
        <f t="shared" si="10"/>
        <v/>
      </c>
      <c r="T50" s="223"/>
      <c r="V50" s="24" t="str">
        <f t="shared" si="11"/>
        <v/>
      </c>
      <c r="X50" s="24" t="str">
        <f t="shared" si="12"/>
        <v/>
      </c>
      <c r="Z50" s="51"/>
      <c r="AB50" s="55" t="s">
        <v>63</v>
      </c>
      <c r="AC50" s="56"/>
      <c r="AD50" s="56"/>
      <c r="AE50" s="56"/>
      <c r="AF50" s="56"/>
      <c r="AG50" s="59">
        <f>AG48/12*3/4</f>
        <v>12331.25</v>
      </c>
    </row>
    <row r="51" spans="1:39" x14ac:dyDescent="0.25">
      <c r="A51" s="220"/>
      <c r="B51" s="221"/>
      <c r="C51" s="276"/>
      <c r="D51" s="276"/>
      <c r="E51" s="220"/>
      <c r="F51" s="220"/>
      <c r="G51" s="220"/>
      <c r="H51" s="220"/>
      <c r="I51" s="220"/>
      <c r="J51" s="151"/>
      <c r="K51" s="151"/>
      <c r="L51" s="22" t="str">
        <f t="shared" si="7"/>
        <v/>
      </c>
      <c r="M51" s="222"/>
      <c r="N51" s="24" t="str">
        <f t="shared" si="8"/>
        <v/>
      </c>
      <c r="O51" s="225"/>
      <c r="P51" s="225"/>
      <c r="Q51" s="24" t="str">
        <f t="shared" si="13"/>
        <v/>
      </c>
      <c r="R51" s="187" t="str">
        <f t="shared" si="9"/>
        <v/>
      </c>
      <c r="S51" s="187" t="str">
        <f t="shared" si="10"/>
        <v/>
      </c>
      <c r="T51" s="223"/>
      <c r="V51" s="24" t="str">
        <f t="shared" si="11"/>
        <v/>
      </c>
      <c r="X51" s="24" t="str">
        <f t="shared" si="12"/>
        <v/>
      </c>
      <c r="Z51" s="51"/>
      <c r="AB51" s="55" t="s">
        <v>64</v>
      </c>
      <c r="AC51" s="56"/>
      <c r="AD51" s="56"/>
      <c r="AE51" s="56"/>
      <c r="AF51" s="56"/>
      <c r="AG51" s="59">
        <f>AG48/12</f>
        <v>16441.666666666668</v>
      </c>
    </row>
    <row r="52" spans="1:39" x14ac:dyDescent="0.25">
      <c r="A52" s="220"/>
      <c r="B52" s="221"/>
      <c r="C52" s="276"/>
      <c r="D52" s="276"/>
      <c r="E52" s="220"/>
      <c r="F52" s="220"/>
      <c r="G52" s="220"/>
      <c r="H52" s="220"/>
      <c r="I52" s="220"/>
      <c r="J52" s="151"/>
      <c r="K52" s="151"/>
      <c r="L52" s="22" t="str">
        <f t="shared" si="7"/>
        <v/>
      </c>
      <c r="M52" s="222"/>
      <c r="N52" s="24" t="str">
        <f t="shared" si="8"/>
        <v/>
      </c>
      <c r="O52" s="225"/>
      <c r="P52" s="225"/>
      <c r="Q52" s="24" t="str">
        <f t="shared" si="13"/>
        <v/>
      </c>
      <c r="R52" s="187" t="str">
        <f t="shared" si="9"/>
        <v/>
      </c>
      <c r="S52" s="187" t="str">
        <f t="shared" si="10"/>
        <v/>
      </c>
      <c r="T52" s="223"/>
      <c r="V52" s="24" t="str">
        <f t="shared" si="11"/>
        <v/>
      </c>
      <c r="X52" s="24" t="str">
        <f t="shared" si="12"/>
        <v/>
      </c>
      <c r="Z52" s="51"/>
      <c r="AB52" s="60"/>
      <c r="AC52" s="61"/>
      <c r="AD52" s="61"/>
      <c r="AE52" s="61"/>
      <c r="AF52" s="61"/>
      <c r="AG52" s="62"/>
    </row>
    <row r="53" spans="1:39" x14ac:dyDescent="0.25">
      <c r="A53" s="14"/>
      <c r="B53" s="14"/>
      <c r="C53" s="14"/>
      <c r="D53" s="14"/>
      <c r="E53" s="14"/>
      <c r="F53" s="14"/>
      <c r="G53" s="14"/>
      <c r="H53" s="14"/>
      <c r="I53" s="14"/>
      <c r="J53" s="14"/>
      <c r="K53" s="14"/>
      <c r="L53" s="14"/>
      <c r="M53" s="27"/>
      <c r="N53" s="25"/>
      <c r="O53" s="14"/>
      <c r="P53" s="14"/>
      <c r="Q53" s="25">
        <f>SUM(Q46:Q52)</f>
        <v>0</v>
      </c>
      <c r="R53" s="188">
        <f>SUM(R46:R52)</f>
        <v>0</v>
      </c>
      <c r="S53" s="188">
        <f>SUM(S46:S52)</f>
        <v>0</v>
      </c>
      <c r="T53" s="14"/>
      <c r="V53" s="25">
        <f>SUM(V46:V52)</f>
        <v>0</v>
      </c>
      <c r="X53" s="25">
        <f>SUM(X46:X52)</f>
        <v>0</v>
      </c>
      <c r="Z53" s="51"/>
    </row>
    <row r="54" spans="1:39" x14ac:dyDescent="0.25">
      <c r="P54" s="20" t="s">
        <v>65</v>
      </c>
      <c r="Q54" s="26">
        <f>G17</f>
        <v>3500</v>
      </c>
      <c r="R54" s="26"/>
      <c r="S54" s="26"/>
      <c r="Z54" s="51"/>
    </row>
    <row r="55" spans="1:39" x14ac:dyDescent="0.25">
      <c r="P55" s="20" t="s">
        <v>66</v>
      </c>
      <c r="Q55" s="26">
        <f>J12*N12-Q36</f>
        <v>131900</v>
      </c>
      <c r="R55" s="26"/>
      <c r="S55" s="26"/>
      <c r="Z55" s="51"/>
      <c r="AB55" s="95"/>
      <c r="AC55" s="96" t="s">
        <v>67</v>
      </c>
      <c r="AD55" s="53"/>
      <c r="AE55" s="53"/>
      <c r="AF55" s="53"/>
      <c r="AG55" s="54"/>
    </row>
    <row r="56" spans="1:39" hidden="1" x14ac:dyDescent="0.25">
      <c r="P56" s="20" t="s">
        <v>68</v>
      </c>
      <c r="Q56" s="26">
        <f>Q53-Q55</f>
        <v>-131900</v>
      </c>
      <c r="R56" s="26"/>
      <c r="S56" s="26"/>
      <c r="Z56" s="51"/>
      <c r="AB56" s="55"/>
      <c r="AC56" s="56"/>
      <c r="AD56" s="56"/>
      <c r="AE56" s="56"/>
      <c r="AF56" s="56"/>
      <c r="AG56" s="57"/>
    </row>
    <row r="57" spans="1:39" x14ac:dyDescent="0.25">
      <c r="P57" s="20"/>
      <c r="Q57" s="26"/>
      <c r="R57" s="26"/>
      <c r="S57" s="26"/>
      <c r="Z57" s="51"/>
      <c r="AB57" s="55"/>
      <c r="AC57" s="97" t="s">
        <v>70</v>
      </c>
      <c r="AD57" s="97" t="s">
        <v>71</v>
      </c>
      <c r="AE57" s="97" t="s">
        <v>72</v>
      </c>
      <c r="AF57" s="56"/>
      <c r="AG57" s="57"/>
    </row>
    <row r="58" spans="1:39" x14ac:dyDescent="0.25">
      <c r="P58" s="20" t="s">
        <v>69</v>
      </c>
      <c r="Q58" s="26">
        <f>Q36+Q53</f>
        <v>0</v>
      </c>
      <c r="R58" s="26"/>
      <c r="S58" s="26"/>
      <c r="Z58" s="51"/>
      <c r="AB58" s="55"/>
      <c r="AC58" s="98">
        <v>179700</v>
      </c>
      <c r="AD58" s="99">
        <f>ROUND(AC58/12*0.75,2)</f>
        <v>11231.25</v>
      </c>
      <c r="AE58" s="99">
        <f>ROUND(AC58/12,2)</f>
        <v>14975</v>
      </c>
      <c r="AF58" s="56"/>
      <c r="AG58" s="57"/>
    </row>
    <row r="59" spans="1:39" x14ac:dyDescent="0.25">
      <c r="P59" s="20" t="s">
        <v>73</v>
      </c>
      <c r="Q59" s="26">
        <f>Q58-(J12*N12)</f>
        <v>-131900</v>
      </c>
      <c r="R59" s="26"/>
      <c r="S59" s="26"/>
      <c r="Z59" s="51"/>
      <c r="AB59" s="55"/>
      <c r="AC59" s="98">
        <v>181500</v>
      </c>
      <c r="AD59" s="99">
        <f>ROUND(AC59/12*0.75,2)</f>
        <v>11343.75</v>
      </c>
      <c r="AE59" s="99">
        <f>ROUND(AC59/12,2)</f>
        <v>15125</v>
      </c>
      <c r="AF59" s="56"/>
      <c r="AG59" s="57"/>
    </row>
    <row r="60" spans="1:39" x14ac:dyDescent="0.25">
      <c r="P60" s="20"/>
      <c r="Q60" s="26"/>
      <c r="R60" s="26"/>
      <c r="S60" s="26"/>
      <c r="Z60" s="51"/>
      <c r="AB60" s="55"/>
      <c r="AC60" s="98">
        <v>183300</v>
      </c>
      <c r="AD60" s="99">
        <f>ROUND(AC60/12*0.75,2)</f>
        <v>11456.25</v>
      </c>
      <c r="AE60" s="99">
        <f>ROUND(AC60/12,2)</f>
        <v>15275</v>
      </c>
      <c r="AF60" s="56"/>
      <c r="AG60" s="57"/>
    </row>
    <row r="61" spans="1:39" x14ac:dyDescent="0.25">
      <c r="P61" s="20" t="s">
        <v>74</v>
      </c>
      <c r="Q61" s="187">
        <f>R36+R53</f>
        <v>0</v>
      </c>
      <c r="R61" s="26"/>
      <c r="S61" s="26"/>
      <c r="Z61" s="51"/>
      <c r="AB61" s="55"/>
      <c r="AC61" s="98">
        <v>185100</v>
      </c>
      <c r="AD61" s="99">
        <f>ROUND(AC61/12*0.75,2)</f>
        <v>11568.75</v>
      </c>
      <c r="AE61" s="99">
        <f>ROUND(AC61/12,2)</f>
        <v>15425</v>
      </c>
      <c r="AF61" s="56"/>
      <c r="AG61" s="57"/>
    </row>
    <row r="62" spans="1:39" x14ac:dyDescent="0.25">
      <c r="P62" s="20"/>
      <c r="Q62" s="26"/>
      <c r="R62" s="26"/>
      <c r="S62" s="26"/>
      <c r="Z62" s="51"/>
      <c r="AB62" s="55"/>
      <c r="AC62" s="98">
        <v>187000</v>
      </c>
      <c r="AD62" s="99">
        <f t="shared" ref="AD62:AD67" si="14">ROUND(AC62/12*0.75,2)</f>
        <v>11687.5</v>
      </c>
      <c r="AE62" s="99">
        <f t="shared" ref="AE62:AE67" si="15">ROUND(AC62/12,2)</f>
        <v>15583.33</v>
      </c>
      <c r="AF62" s="56"/>
      <c r="AG62" s="57"/>
      <c r="AJ62" s="125"/>
      <c r="AK62" s="126"/>
      <c r="AL62" s="127"/>
      <c r="AM62" s="126"/>
    </row>
    <row r="63" spans="1:39" x14ac:dyDescent="0.25">
      <c r="A63" s="7" t="s">
        <v>254</v>
      </c>
      <c r="Z63" s="51"/>
      <c r="AB63" s="55"/>
      <c r="AC63" s="98">
        <v>189600</v>
      </c>
      <c r="AD63" s="99">
        <f t="shared" si="14"/>
        <v>11850</v>
      </c>
      <c r="AE63" s="99">
        <f t="shared" si="15"/>
        <v>15800</v>
      </c>
      <c r="AF63" s="56"/>
      <c r="AG63" s="57"/>
      <c r="AJ63" s="125"/>
      <c r="AK63" s="126"/>
      <c r="AL63" s="127"/>
      <c r="AM63" s="126"/>
    </row>
    <row r="64" spans="1:39" x14ac:dyDescent="0.25">
      <c r="A64" s="273" t="s">
        <v>255</v>
      </c>
      <c r="B64" s="273"/>
      <c r="C64" s="273"/>
      <c r="D64" s="273"/>
      <c r="E64" s="273"/>
      <c r="F64" s="273"/>
      <c r="G64" s="273"/>
      <c r="H64" s="273"/>
      <c r="I64" s="273"/>
      <c r="J64" s="273"/>
      <c r="K64" s="273"/>
      <c r="L64" s="273"/>
      <c r="M64" s="273"/>
      <c r="N64" s="273"/>
      <c r="O64" s="273"/>
      <c r="P64" s="273"/>
      <c r="Q64" s="273"/>
      <c r="Z64" s="51"/>
      <c r="AB64" s="55"/>
      <c r="AC64" s="98">
        <v>192300</v>
      </c>
      <c r="AD64" s="99">
        <f t="shared" si="14"/>
        <v>12018.75</v>
      </c>
      <c r="AE64" s="99">
        <f t="shared" si="15"/>
        <v>16025</v>
      </c>
      <c r="AF64" s="56"/>
      <c r="AG64" s="57"/>
    </row>
    <row r="65" spans="1:33" x14ac:dyDescent="0.25">
      <c r="A65" s="113"/>
      <c r="B65" s="113"/>
      <c r="C65" s="113"/>
      <c r="D65" s="113"/>
      <c r="E65" s="113"/>
      <c r="F65" s="113"/>
      <c r="G65" s="113"/>
      <c r="H65" s="113"/>
      <c r="I65" s="113"/>
      <c r="J65" s="113"/>
      <c r="K65" s="113"/>
      <c r="L65" s="113"/>
      <c r="M65" s="113"/>
      <c r="N65" s="113"/>
      <c r="O65" s="113"/>
      <c r="P65" s="113"/>
      <c r="Q65" s="113"/>
      <c r="T65" s="92"/>
      <c r="Z65" s="51"/>
      <c r="AB65" s="55"/>
      <c r="AC65" s="98">
        <v>197300</v>
      </c>
      <c r="AD65" s="99">
        <f t="shared" si="14"/>
        <v>12331.25</v>
      </c>
      <c r="AE65" s="99">
        <f t="shared" si="15"/>
        <v>16441.669999999998</v>
      </c>
      <c r="AF65" s="56"/>
      <c r="AG65" s="57"/>
    </row>
    <row r="66" spans="1:33" ht="13.15" customHeight="1" x14ac:dyDescent="0.25">
      <c r="A66" s="94" t="s">
        <v>215</v>
      </c>
      <c r="B66" s="277" t="s">
        <v>217</v>
      </c>
      <c r="C66" s="277"/>
      <c r="D66" s="277"/>
      <c r="E66" s="277"/>
      <c r="F66" s="277"/>
      <c r="G66" s="277"/>
      <c r="H66" s="277"/>
      <c r="I66" s="277"/>
      <c r="J66" s="277"/>
      <c r="K66" s="277"/>
      <c r="L66" s="277"/>
      <c r="M66" s="277"/>
      <c r="N66" s="277"/>
      <c r="O66" s="277"/>
      <c r="P66" s="277"/>
      <c r="Q66" s="277"/>
      <c r="T66" s="92"/>
      <c r="Z66" s="51"/>
      <c r="AB66" s="55"/>
      <c r="AC66" s="98">
        <v>199300</v>
      </c>
      <c r="AD66" s="99">
        <f t="shared" si="14"/>
        <v>12456.25</v>
      </c>
      <c r="AE66" s="99">
        <f t="shared" si="15"/>
        <v>16608.330000000002</v>
      </c>
      <c r="AF66" s="56"/>
      <c r="AG66" s="57"/>
    </row>
    <row r="67" spans="1:33" ht="12.6" customHeight="1" x14ac:dyDescent="0.25">
      <c r="A67" s="113"/>
      <c r="B67" s="113"/>
      <c r="C67" s="113"/>
      <c r="D67" s="113"/>
      <c r="E67" s="113"/>
      <c r="F67" s="113"/>
      <c r="G67" s="113"/>
      <c r="H67" s="113"/>
      <c r="I67" s="113"/>
      <c r="J67" s="113"/>
      <c r="K67" s="113"/>
      <c r="L67" s="113"/>
      <c r="M67" s="113"/>
      <c r="N67" s="113"/>
      <c r="O67" s="113"/>
      <c r="P67" s="113"/>
      <c r="Q67" s="113"/>
      <c r="T67" s="92"/>
      <c r="Z67" s="51"/>
      <c r="AB67" s="60"/>
      <c r="AC67" s="109">
        <v>203700</v>
      </c>
      <c r="AD67" s="110">
        <f t="shared" si="14"/>
        <v>12731.25</v>
      </c>
      <c r="AE67" s="110">
        <f t="shared" si="15"/>
        <v>16975</v>
      </c>
      <c r="AF67" s="61"/>
      <c r="AG67" s="62"/>
    </row>
    <row r="68" spans="1:33" ht="30" customHeight="1" x14ac:dyDescent="0.25">
      <c r="A68" s="23" t="s">
        <v>231</v>
      </c>
      <c r="B68" s="23" t="s">
        <v>35</v>
      </c>
      <c r="C68" s="278" t="s">
        <v>36</v>
      </c>
      <c r="D68" s="278"/>
      <c r="E68" s="179" t="s">
        <v>230</v>
      </c>
      <c r="F68" s="23" t="s">
        <v>234</v>
      </c>
      <c r="G68" s="23" t="s">
        <v>232</v>
      </c>
      <c r="H68" s="23" t="s">
        <v>233</v>
      </c>
      <c r="I68" s="179" t="s">
        <v>237</v>
      </c>
      <c r="J68" s="23" t="s">
        <v>37</v>
      </c>
      <c r="K68" s="23" t="s">
        <v>38</v>
      </c>
      <c r="L68" s="23" t="s">
        <v>39</v>
      </c>
      <c r="M68" s="23" t="s">
        <v>40</v>
      </c>
      <c r="N68" s="23" t="s">
        <v>41</v>
      </c>
      <c r="O68" s="23" t="s">
        <v>58</v>
      </c>
      <c r="P68" s="23" t="s">
        <v>59</v>
      </c>
      <c r="Q68" s="23" t="s">
        <v>42</v>
      </c>
      <c r="R68" s="23" t="s">
        <v>40</v>
      </c>
      <c r="S68" s="23" t="s">
        <v>43</v>
      </c>
      <c r="T68" s="23" t="s">
        <v>44</v>
      </c>
      <c r="V68" s="23" t="s">
        <v>45</v>
      </c>
      <c r="X68" s="23" t="s">
        <v>46</v>
      </c>
      <c r="Z68" s="51"/>
    </row>
    <row r="69" spans="1:33" ht="8.1" customHeight="1" x14ac:dyDescent="0.25">
      <c r="J69" s="22"/>
      <c r="K69" s="22"/>
      <c r="L69" s="22"/>
      <c r="M69" s="22"/>
      <c r="N69" s="22"/>
      <c r="O69" s="22"/>
      <c r="P69" s="22"/>
      <c r="Q69" s="22"/>
      <c r="R69" s="183"/>
      <c r="S69" s="183"/>
      <c r="T69" s="223"/>
      <c r="V69" s="22"/>
      <c r="Z69" s="51"/>
    </row>
    <row r="70" spans="1:33" x14ac:dyDescent="0.25">
      <c r="A70" s="220"/>
      <c r="B70" s="221"/>
      <c r="C70" s="276"/>
      <c r="D70" s="276"/>
      <c r="E70" s="220"/>
      <c r="F70" s="220"/>
      <c r="G70" s="220"/>
      <c r="H70" s="220"/>
      <c r="I70" s="220"/>
      <c r="J70" s="151"/>
      <c r="K70" s="151"/>
      <c r="L70" s="22" t="str">
        <f>IF(J70="","",DATEDIF(J70,K70,"m")+1)</f>
        <v/>
      </c>
      <c r="M70" s="222"/>
      <c r="N70" s="24" t="str">
        <f t="shared" ref="N70:N83" si="16">IF(J70="","",$L$14)</f>
        <v/>
      </c>
      <c r="O70" s="225"/>
      <c r="P70" s="225"/>
      <c r="Q70" s="24" t="str">
        <f>IF(ISERROR(L70*M70*N70),"",IF(AND(O70="",P70=""),L70*ROUND(ROUND(M70,8)*N70,2),IF(P70="",L70*ROUND(ROUND(M70,8)*O70,2),L70*P70)))</f>
        <v/>
      </c>
      <c r="R70" s="183" t="str">
        <f t="shared" ref="R70:R83" si="17">IF(ISERROR(L70*M70),"",(L70*M70)/12)</f>
        <v/>
      </c>
      <c r="S70" s="183" t="str">
        <f t="shared" ref="S70:S83" si="18">IFERROR(R70*0.75,"")</f>
        <v/>
      </c>
      <c r="T70" s="223"/>
      <c r="V70" s="24" t="str">
        <f t="shared" ref="V70:V83" si="19">IF(Q70="","",ROUND(Q70*$U$16,2))</f>
        <v/>
      </c>
      <c r="X70" s="24" t="str">
        <f t="shared" ref="X70:X83" si="20">IF(Q70="","",Q70+V70)</f>
        <v/>
      </c>
      <c r="Z70" s="51"/>
      <c r="AB70" s="63" t="s">
        <v>75</v>
      </c>
      <c r="AC70" s="64"/>
      <c r="AD70" s="64"/>
      <c r="AE70" s="64"/>
      <c r="AF70" s="64"/>
      <c r="AG70" s="65"/>
    </row>
    <row r="71" spans="1:33" x14ac:dyDescent="0.25">
      <c r="A71" s="220"/>
      <c r="B71" s="221"/>
      <c r="C71" s="276"/>
      <c r="D71" s="276"/>
      <c r="E71" s="220"/>
      <c r="F71" s="220"/>
      <c r="G71" s="220"/>
      <c r="H71" s="220"/>
      <c r="I71" s="220"/>
      <c r="J71" s="151"/>
      <c r="K71" s="151"/>
      <c r="L71" s="22" t="str">
        <f>IF(J71="","",DATEDIF(J71,K71,"m")+1)</f>
        <v/>
      </c>
      <c r="M71" s="222"/>
      <c r="N71" s="24" t="str">
        <f t="shared" si="16"/>
        <v/>
      </c>
      <c r="O71" s="225"/>
      <c r="P71" s="225"/>
      <c r="Q71" s="24" t="str">
        <f t="shared" ref="Q71:Q83" si="21">IF(ISERROR(L71*M71*N71),"",IF(AND(O71="",P71=""),L71*ROUND(ROUND(M71,8)*N71,2),IF(P71="",L71*ROUND(ROUND(M71,8)*O71,2),L71*P71)))</f>
        <v/>
      </c>
      <c r="R71" s="183" t="str">
        <f t="shared" si="17"/>
        <v/>
      </c>
      <c r="S71" s="183" t="str">
        <f t="shared" si="18"/>
        <v/>
      </c>
      <c r="T71" s="223"/>
      <c r="V71" s="24" t="str">
        <f t="shared" si="19"/>
        <v/>
      </c>
      <c r="X71" s="24" t="str">
        <f t="shared" si="20"/>
        <v/>
      </c>
      <c r="Z71" s="51"/>
      <c r="AB71" s="66"/>
      <c r="AC71" s="67"/>
      <c r="AD71" s="67"/>
      <c r="AE71" s="67"/>
      <c r="AF71" s="67"/>
      <c r="AG71" s="68"/>
    </row>
    <row r="72" spans="1:33" x14ac:dyDescent="0.25">
      <c r="A72" s="220"/>
      <c r="B72" s="221"/>
      <c r="C72" s="276"/>
      <c r="D72" s="276"/>
      <c r="E72" s="220"/>
      <c r="F72" s="220"/>
      <c r="G72" s="220"/>
      <c r="H72" s="220"/>
      <c r="I72" s="220"/>
      <c r="J72" s="151"/>
      <c r="K72" s="151"/>
      <c r="L72" s="22" t="str">
        <f>IF(J72="","",DATEDIF(J72,K72,"m")+1)</f>
        <v/>
      </c>
      <c r="M72" s="222"/>
      <c r="N72" s="24" t="str">
        <f t="shared" si="16"/>
        <v/>
      </c>
      <c r="O72" s="225"/>
      <c r="P72" s="225"/>
      <c r="Q72" s="24" t="str">
        <f t="shared" si="21"/>
        <v/>
      </c>
      <c r="R72" s="183" t="str">
        <f t="shared" si="17"/>
        <v/>
      </c>
      <c r="S72" s="183" t="str">
        <f t="shared" si="18"/>
        <v/>
      </c>
      <c r="T72" s="223"/>
      <c r="V72" s="24" t="str">
        <f t="shared" si="19"/>
        <v/>
      </c>
      <c r="X72" s="24" t="str">
        <f t="shared" si="20"/>
        <v/>
      </c>
      <c r="Z72" s="51"/>
      <c r="AB72" s="73" t="s">
        <v>76</v>
      </c>
      <c r="AC72" s="67"/>
      <c r="AD72" s="67"/>
      <c r="AE72" s="67"/>
      <c r="AF72" s="67"/>
      <c r="AG72" s="68"/>
    </row>
    <row r="73" spans="1:33" x14ac:dyDescent="0.25">
      <c r="A73" s="220"/>
      <c r="B73" s="221"/>
      <c r="C73" s="276"/>
      <c r="D73" s="276"/>
      <c r="E73" s="220"/>
      <c r="F73" s="220"/>
      <c r="G73" s="220"/>
      <c r="H73" s="220"/>
      <c r="I73" s="220"/>
      <c r="J73" s="151"/>
      <c r="K73" s="151"/>
      <c r="L73" s="22" t="str">
        <f t="shared" ref="L73:L83" si="22">IF(J73="","",DATEDIF(J73,K73,"m")+1)</f>
        <v/>
      </c>
      <c r="M73" s="222"/>
      <c r="N73" s="24" t="str">
        <f t="shared" si="16"/>
        <v/>
      </c>
      <c r="O73" s="225"/>
      <c r="P73" s="225"/>
      <c r="Q73" s="24" t="str">
        <f t="shared" si="21"/>
        <v/>
      </c>
      <c r="R73" s="183" t="str">
        <f t="shared" si="17"/>
        <v/>
      </c>
      <c r="S73" s="183" t="str">
        <f t="shared" si="18"/>
        <v/>
      </c>
      <c r="T73" s="223"/>
      <c r="V73" s="24" t="str">
        <f t="shared" si="19"/>
        <v/>
      </c>
      <c r="X73" s="24" t="str">
        <f t="shared" si="20"/>
        <v/>
      </c>
      <c r="Z73" s="51"/>
      <c r="AB73" s="66"/>
      <c r="AC73" s="67"/>
      <c r="AD73" s="67"/>
      <c r="AE73" s="67"/>
      <c r="AF73" s="67"/>
      <c r="AG73" s="68"/>
    </row>
    <row r="74" spans="1:33" x14ac:dyDescent="0.25">
      <c r="A74" s="220"/>
      <c r="B74" s="221"/>
      <c r="C74" s="276"/>
      <c r="D74" s="276"/>
      <c r="E74" s="220"/>
      <c r="F74" s="220"/>
      <c r="G74" s="220"/>
      <c r="H74" s="220"/>
      <c r="I74" s="220"/>
      <c r="J74" s="151"/>
      <c r="K74" s="151"/>
      <c r="L74" s="22" t="str">
        <f t="shared" si="22"/>
        <v/>
      </c>
      <c r="M74" s="222"/>
      <c r="N74" s="24" t="str">
        <f t="shared" si="16"/>
        <v/>
      </c>
      <c r="O74" s="225"/>
      <c r="P74" s="225"/>
      <c r="Q74" s="24" t="str">
        <f t="shared" si="21"/>
        <v/>
      </c>
      <c r="R74" s="183" t="str">
        <f t="shared" si="17"/>
        <v/>
      </c>
      <c r="S74" s="183" t="str">
        <f t="shared" si="18"/>
        <v/>
      </c>
      <c r="T74" s="223"/>
      <c r="V74" s="24" t="str">
        <f t="shared" si="19"/>
        <v/>
      </c>
      <c r="X74" s="24" t="str">
        <f t="shared" si="20"/>
        <v/>
      </c>
      <c r="Z74" s="51"/>
      <c r="AB74" s="66" t="s">
        <v>77</v>
      </c>
      <c r="AC74" s="67"/>
      <c r="AD74" s="67"/>
      <c r="AE74" s="67"/>
      <c r="AF74" s="74">
        <v>26666.67</v>
      </c>
      <c r="AG74" s="68"/>
    </row>
    <row r="75" spans="1:33" x14ac:dyDescent="0.25">
      <c r="A75" s="220"/>
      <c r="B75" s="221"/>
      <c r="C75" s="276"/>
      <c r="D75" s="276"/>
      <c r="E75" s="220"/>
      <c r="F75" s="220"/>
      <c r="G75" s="220"/>
      <c r="H75" s="220"/>
      <c r="I75" s="220"/>
      <c r="J75" s="151"/>
      <c r="K75" s="151"/>
      <c r="L75" s="22" t="str">
        <f t="shared" si="22"/>
        <v/>
      </c>
      <c r="M75" s="222"/>
      <c r="N75" s="24" t="str">
        <f t="shared" si="16"/>
        <v/>
      </c>
      <c r="O75" s="225"/>
      <c r="P75" s="225"/>
      <c r="Q75" s="24" t="str">
        <f t="shared" si="21"/>
        <v/>
      </c>
      <c r="R75" s="183" t="str">
        <f t="shared" si="17"/>
        <v/>
      </c>
      <c r="S75" s="183" t="str">
        <f t="shared" si="18"/>
        <v/>
      </c>
      <c r="T75" s="223"/>
      <c r="V75" s="24" t="str">
        <f t="shared" si="19"/>
        <v/>
      </c>
      <c r="X75" s="24" t="str">
        <f t="shared" si="20"/>
        <v/>
      </c>
      <c r="Z75" s="51"/>
      <c r="AB75" s="66" t="s">
        <v>78</v>
      </c>
      <c r="AC75" s="67"/>
      <c r="AD75" s="67"/>
      <c r="AE75" s="67"/>
      <c r="AF75" s="74">
        <v>16441.669999999998</v>
      </c>
      <c r="AG75" s="68"/>
    </row>
    <row r="76" spans="1:33" x14ac:dyDescent="0.25">
      <c r="A76" s="220"/>
      <c r="B76" s="221"/>
      <c r="C76" s="276"/>
      <c r="D76" s="276"/>
      <c r="E76" s="220"/>
      <c r="F76" s="220"/>
      <c r="G76" s="220"/>
      <c r="H76" s="220"/>
      <c r="I76" s="220"/>
      <c r="J76" s="151"/>
      <c r="K76" s="151"/>
      <c r="L76" s="22" t="str">
        <f t="shared" si="22"/>
        <v/>
      </c>
      <c r="M76" s="222"/>
      <c r="N76" s="24" t="str">
        <f t="shared" si="16"/>
        <v/>
      </c>
      <c r="O76" s="225"/>
      <c r="P76" s="225"/>
      <c r="Q76" s="24" t="str">
        <f t="shared" si="21"/>
        <v/>
      </c>
      <c r="R76" s="183" t="str">
        <f t="shared" si="17"/>
        <v/>
      </c>
      <c r="S76" s="183" t="str">
        <f t="shared" si="18"/>
        <v/>
      </c>
      <c r="T76" s="223"/>
      <c r="V76" s="24" t="str">
        <f t="shared" si="19"/>
        <v/>
      </c>
      <c r="X76" s="24" t="str">
        <f t="shared" si="20"/>
        <v/>
      </c>
      <c r="Z76" s="51"/>
      <c r="AB76" s="66" t="s">
        <v>79</v>
      </c>
      <c r="AC76" s="67"/>
      <c r="AD76" s="67"/>
      <c r="AE76" s="67"/>
      <c r="AF76" s="75">
        <v>0.5</v>
      </c>
      <c r="AG76" s="68"/>
    </row>
    <row r="77" spans="1:33" x14ac:dyDescent="0.25">
      <c r="A77" s="220"/>
      <c r="B77" s="220"/>
      <c r="C77" s="276"/>
      <c r="D77" s="276"/>
      <c r="E77" s="220"/>
      <c r="F77" s="220"/>
      <c r="G77" s="220"/>
      <c r="H77" s="220"/>
      <c r="I77" s="220"/>
      <c r="J77" s="151"/>
      <c r="K77" s="151"/>
      <c r="L77" s="22" t="str">
        <f t="shared" si="22"/>
        <v/>
      </c>
      <c r="M77" s="222"/>
      <c r="N77" s="24" t="str">
        <f t="shared" si="16"/>
        <v/>
      </c>
      <c r="O77" s="225"/>
      <c r="P77" s="225"/>
      <c r="Q77" s="24" t="str">
        <f t="shared" si="21"/>
        <v/>
      </c>
      <c r="R77" s="183" t="str">
        <f t="shared" si="17"/>
        <v/>
      </c>
      <c r="S77" s="183" t="str">
        <f t="shared" si="18"/>
        <v/>
      </c>
      <c r="T77" s="223"/>
      <c r="V77" s="24" t="str">
        <f t="shared" si="19"/>
        <v/>
      </c>
      <c r="X77" s="24" t="str">
        <f t="shared" si="20"/>
        <v/>
      </c>
      <c r="Z77" s="51"/>
      <c r="AB77" s="66" t="s">
        <v>80</v>
      </c>
      <c r="AC77" s="67"/>
      <c r="AD77" s="67"/>
      <c r="AE77" s="67"/>
      <c r="AF77" s="74">
        <f>ROUND((AF74-AF75)*AF76,2)</f>
        <v>5112.5</v>
      </c>
      <c r="AG77" s="68"/>
    </row>
    <row r="78" spans="1:33" x14ac:dyDescent="0.25">
      <c r="A78" s="220"/>
      <c r="B78" s="220"/>
      <c r="C78" s="276"/>
      <c r="D78" s="276"/>
      <c r="E78" s="220"/>
      <c r="F78" s="220"/>
      <c r="G78" s="220"/>
      <c r="H78" s="220"/>
      <c r="I78" s="220"/>
      <c r="J78" s="151"/>
      <c r="K78" s="151"/>
      <c r="L78" s="22" t="str">
        <f t="shared" si="22"/>
        <v/>
      </c>
      <c r="M78" s="222"/>
      <c r="N78" s="24" t="str">
        <f t="shared" si="16"/>
        <v/>
      </c>
      <c r="O78" s="225"/>
      <c r="P78" s="225"/>
      <c r="Q78" s="24" t="str">
        <f t="shared" si="21"/>
        <v/>
      </c>
      <c r="R78" s="183" t="str">
        <f t="shared" si="17"/>
        <v/>
      </c>
      <c r="S78" s="183" t="str">
        <f t="shared" si="18"/>
        <v/>
      </c>
      <c r="T78" s="223"/>
      <c r="V78" s="24" t="str">
        <f t="shared" si="19"/>
        <v/>
      </c>
      <c r="X78" s="24" t="str">
        <f t="shared" si="20"/>
        <v/>
      </c>
      <c r="Z78" s="51"/>
      <c r="AB78" s="66"/>
      <c r="AC78" s="67"/>
      <c r="AD78" s="67"/>
      <c r="AE78" s="67"/>
      <c r="AF78" s="67"/>
      <c r="AG78" s="68"/>
    </row>
    <row r="79" spans="1:33" x14ac:dyDescent="0.25">
      <c r="A79" s="220"/>
      <c r="B79" s="220"/>
      <c r="C79" s="276"/>
      <c r="D79" s="276"/>
      <c r="E79" s="220"/>
      <c r="F79" s="220"/>
      <c r="G79" s="220"/>
      <c r="H79" s="220"/>
      <c r="I79" s="220"/>
      <c r="J79" s="151"/>
      <c r="K79" s="151"/>
      <c r="L79" s="22" t="str">
        <f t="shared" si="22"/>
        <v/>
      </c>
      <c r="M79" s="222"/>
      <c r="N79" s="24" t="str">
        <f t="shared" si="16"/>
        <v/>
      </c>
      <c r="O79" s="225"/>
      <c r="P79" s="225"/>
      <c r="Q79" s="24" t="str">
        <f t="shared" si="21"/>
        <v/>
      </c>
      <c r="R79" s="183" t="str">
        <f t="shared" si="17"/>
        <v/>
      </c>
      <c r="S79" s="183" t="str">
        <f t="shared" si="18"/>
        <v/>
      </c>
      <c r="T79" s="223"/>
      <c r="V79" s="24" t="str">
        <f t="shared" si="19"/>
        <v/>
      </c>
      <c r="X79" s="24" t="str">
        <f t="shared" si="20"/>
        <v/>
      </c>
      <c r="Z79" s="51"/>
      <c r="AB79" s="66" t="s">
        <v>81</v>
      </c>
      <c r="AC79" s="67"/>
      <c r="AD79" s="67"/>
      <c r="AE79" s="67"/>
      <c r="AF79" s="74">
        <f>ROUND(AF75*AF76,2)+AF77</f>
        <v>13333.34</v>
      </c>
      <c r="AG79" s="68"/>
    </row>
    <row r="80" spans="1:33" x14ac:dyDescent="0.25">
      <c r="A80" s="220"/>
      <c r="B80" s="220"/>
      <c r="C80" s="276"/>
      <c r="D80" s="276"/>
      <c r="E80" s="220"/>
      <c r="F80" s="220"/>
      <c r="G80" s="220"/>
      <c r="H80" s="220"/>
      <c r="I80" s="220"/>
      <c r="J80" s="151"/>
      <c r="K80" s="151"/>
      <c r="L80" s="22" t="str">
        <f t="shared" si="22"/>
        <v/>
      </c>
      <c r="M80" s="222"/>
      <c r="N80" s="24" t="str">
        <f t="shared" si="16"/>
        <v/>
      </c>
      <c r="O80" s="225"/>
      <c r="P80" s="225"/>
      <c r="Q80" s="24" t="str">
        <f t="shared" si="21"/>
        <v/>
      </c>
      <c r="R80" s="183" t="str">
        <f t="shared" si="17"/>
        <v/>
      </c>
      <c r="S80" s="183" t="str">
        <f t="shared" si="18"/>
        <v/>
      </c>
      <c r="T80" s="223"/>
      <c r="V80" s="24" t="str">
        <f t="shared" si="19"/>
        <v/>
      </c>
      <c r="X80" s="24" t="str">
        <f t="shared" si="20"/>
        <v/>
      </c>
      <c r="Z80" s="51"/>
      <c r="AB80" s="69" t="s">
        <v>82</v>
      </c>
      <c r="AC80" s="70"/>
      <c r="AD80" s="70"/>
      <c r="AE80" s="70"/>
      <c r="AF80" s="76">
        <f>ROUND(AF76*AF74,2)</f>
        <v>13333.34</v>
      </c>
      <c r="AG80" s="71"/>
    </row>
    <row r="81" spans="1:32" x14ac:dyDescent="0.25">
      <c r="A81" s="220"/>
      <c r="B81" s="220"/>
      <c r="C81" s="276"/>
      <c r="D81" s="276"/>
      <c r="E81" s="220"/>
      <c r="F81" s="220"/>
      <c r="G81" s="220"/>
      <c r="H81" s="220"/>
      <c r="I81" s="220"/>
      <c r="J81" s="151"/>
      <c r="K81" s="151"/>
      <c r="L81" s="22" t="str">
        <f t="shared" si="22"/>
        <v/>
      </c>
      <c r="M81" s="222"/>
      <c r="N81" s="24" t="str">
        <f t="shared" si="16"/>
        <v/>
      </c>
      <c r="O81" s="225"/>
      <c r="P81" s="225"/>
      <c r="Q81" s="24" t="str">
        <f t="shared" si="21"/>
        <v/>
      </c>
      <c r="R81" s="183" t="str">
        <f t="shared" si="17"/>
        <v/>
      </c>
      <c r="S81" s="183" t="str">
        <f t="shared" si="18"/>
        <v/>
      </c>
      <c r="T81" s="223"/>
      <c r="V81" s="24" t="str">
        <f t="shared" si="19"/>
        <v/>
      </c>
      <c r="X81" s="24" t="str">
        <f t="shared" si="20"/>
        <v/>
      </c>
      <c r="Z81" s="51"/>
      <c r="AF81" s="24"/>
    </row>
    <row r="82" spans="1:32" x14ac:dyDescent="0.25">
      <c r="A82" s="220"/>
      <c r="B82" s="220"/>
      <c r="C82" s="276"/>
      <c r="D82" s="276"/>
      <c r="E82" s="220"/>
      <c r="F82" s="220"/>
      <c r="G82" s="220"/>
      <c r="H82" s="220"/>
      <c r="I82" s="220"/>
      <c r="J82" s="151"/>
      <c r="K82" s="151"/>
      <c r="L82" s="22" t="str">
        <f t="shared" si="22"/>
        <v/>
      </c>
      <c r="M82" s="222"/>
      <c r="N82" s="24" t="str">
        <f t="shared" si="16"/>
        <v/>
      </c>
      <c r="O82" s="225"/>
      <c r="P82" s="225"/>
      <c r="Q82" s="24" t="str">
        <f t="shared" si="21"/>
        <v/>
      </c>
      <c r="R82" s="183" t="str">
        <f t="shared" si="17"/>
        <v/>
      </c>
      <c r="S82" s="183" t="str">
        <f t="shared" si="18"/>
        <v/>
      </c>
      <c r="T82" s="223"/>
      <c r="V82" s="24" t="str">
        <f t="shared" si="19"/>
        <v/>
      </c>
      <c r="X82" s="24" t="str">
        <f t="shared" si="20"/>
        <v/>
      </c>
      <c r="Z82" s="51"/>
      <c r="AF82" s="24"/>
    </row>
    <row r="83" spans="1:32" x14ac:dyDescent="0.25">
      <c r="A83" s="220"/>
      <c r="B83" s="220"/>
      <c r="C83" s="276"/>
      <c r="D83" s="276"/>
      <c r="E83" s="220"/>
      <c r="F83" s="220"/>
      <c r="G83" s="220"/>
      <c r="H83" s="220"/>
      <c r="I83" s="220"/>
      <c r="J83" s="151"/>
      <c r="K83" s="151"/>
      <c r="L83" s="22" t="str">
        <f t="shared" si="22"/>
        <v/>
      </c>
      <c r="M83" s="222"/>
      <c r="N83" s="24" t="str">
        <f t="shared" si="16"/>
        <v/>
      </c>
      <c r="O83" s="225"/>
      <c r="P83" s="225"/>
      <c r="Q83" s="24" t="str">
        <f t="shared" si="21"/>
        <v/>
      </c>
      <c r="R83" s="183" t="str">
        <f t="shared" si="17"/>
        <v/>
      </c>
      <c r="S83" s="183" t="str">
        <f t="shared" si="18"/>
        <v/>
      </c>
      <c r="T83" s="223"/>
      <c r="V83" s="24" t="str">
        <f t="shared" si="19"/>
        <v/>
      </c>
      <c r="X83" s="24" t="str">
        <f t="shared" si="20"/>
        <v/>
      </c>
      <c r="Z83" s="51"/>
      <c r="AF83" s="24"/>
    </row>
    <row r="84" spans="1:32" x14ac:dyDescent="0.25">
      <c r="A84" s="14"/>
      <c r="B84" s="14"/>
      <c r="C84" s="14"/>
      <c r="D84" s="14"/>
      <c r="E84" s="14"/>
      <c r="F84" s="14"/>
      <c r="G84" s="14"/>
      <c r="H84" s="14"/>
      <c r="I84" s="14"/>
      <c r="J84" s="14"/>
      <c r="K84" s="14"/>
      <c r="L84" s="14"/>
      <c r="M84" s="27"/>
      <c r="N84" s="25"/>
      <c r="O84" s="14"/>
      <c r="P84" s="14"/>
      <c r="Q84" s="25">
        <f>SUM(Q70:Q83)</f>
        <v>0</v>
      </c>
      <c r="R84" s="188">
        <f>SUM(R70:R83)</f>
        <v>0</v>
      </c>
      <c r="S84" s="188">
        <f>SUM(S70:S83)</f>
        <v>0</v>
      </c>
      <c r="T84" s="25"/>
      <c r="V84" s="25">
        <f>SUM(V70:V83)</f>
        <v>0</v>
      </c>
      <c r="X84" s="25">
        <f>SUM(X70:X83)</f>
        <v>0</v>
      </c>
      <c r="Z84" s="51"/>
    </row>
    <row r="85" spans="1:32" x14ac:dyDescent="0.25">
      <c r="P85" s="20" t="s">
        <v>83</v>
      </c>
      <c r="Q85" s="26">
        <f>K12</f>
        <v>35000</v>
      </c>
      <c r="R85" s="26"/>
      <c r="S85" s="26"/>
      <c r="Z85" s="51"/>
    </row>
    <row r="86" spans="1:32" x14ac:dyDescent="0.25">
      <c r="L86" s="20"/>
      <c r="M86" s="35"/>
      <c r="P86" s="20" t="s">
        <v>84</v>
      </c>
      <c r="Q86" s="26">
        <f>Q84-Q85</f>
        <v>-35000</v>
      </c>
      <c r="R86" s="26"/>
      <c r="S86" s="26"/>
      <c r="Z86" s="51"/>
    </row>
    <row r="87" spans="1:32" x14ac:dyDescent="0.25">
      <c r="L87" s="20"/>
      <c r="M87" s="35"/>
      <c r="P87" s="20"/>
      <c r="Q87" s="26"/>
      <c r="R87" s="26"/>
      <c r="S87" s="26"/>
      <c r="Z87" s="51"/>
    </row>
    <row r="88" spans="1:32" x14ac:dyDescent="0.25">
      <c r="L88" s="20"/>
      <c r="M88" s="35"/>
      <c r="P88" s="20" t="s">
        <v>85</v>
      </c>
      <c r="Q88" s="26">
        <f>Q36+Q53+Q84</f>
        <v>0</v>
      </c>
      <c r="R88" s="26"/>
      <c r="S88" s="26"/>
      <c r="Z88" s="51"/>
    </row>
    <row r="89" spans="1:32" x14ac:dyDescent="0.25">
      <c r="L89" s="20"/>
      <c r="M89" s="35"/>
      <c r="P89" s="20" t="s">
        <v>86</v>
      </c>
      <c r="Q89" s="26">
        <f>Q88-(L12*N12)</f>
        <v>-166900</v>
      </c>
      <c r="R89" s="26"/>
      <c r="S89" s="26"/>
      <c r="Z89" s="51"/>
    </row>
    <row r="90" spans="1:32" x14ac:dyDescent="0.25">
      <c r="L90" s="20"/>
      <c r="M90" s="35"/>
      <c r="P90" s="20"/>
      <c r="Q90" s="26"/>
      <c r="R90" s="77" t="s">
        <v>87</v>
      </c>
      <c r="S90" s="77" t="s">
        <v>20</v>
      </c>
      <c r="Z90" s="51"/>
    </row>
    <row r="91" spans="1:32" x14ac:dyDescent="0.25">
      <c r="L91" s="20"/>
      <c r="M91" s="35"/>
      <c r="P91" s="20" t="s">
        <v>88</v>
      </c>
      <c r="Q91" s="187">
        <f>R91</f>
        <v>0</v>
      </c>
      <c r="R91" s="187">
        <f>R36+R53+R84</f>
        <v>0</v>
      </c>
      <c r="S91" s="187">
        <f>S36+S53+S84</f>
        <v>0</v>
      </c>
      <c r="Z91" s="51"/>
    </row>
    <row r="92" spans="1:32" x14ac:dyDescent="0.25">
      <c r="L92" s="20"/>
      <c r="M92" s="35"/>
      <c r="P92" s="20"/>
      <c r="Q92" s="26"/>
      <c r="R92" s="26"/>
      <c r="S92" s="26"/>
      <c r="Z92" s="51"/>
    </row>
    <row r="93" spans="1:32" x14ac:dyDescent="0.25">
      <c r="A93" s="7" t="s">
        <v>31</v>
      </c>
      <c r="Z93" s="51"/>
    </row>
    <row r="94" spans="1:32" x14ac:dyDescent="0.25">
      <c r="A94" s="273" t="s">
        <v>89</v>
      </c>
      <c r="B94" s="273"/>
      <c r="C94" s="273"/>
      <c r="D94" s="273"/>
      <c r="E94" s="273"/>
      <c r="F94" s="273"/>
      <c r="G94" s="273"/>
      <c r="H94" s="273"/>
      <c r="I94" s="273"/>
      <c r="J94" s="273"/>
      <c r="K94" s="273"/>
      <c r="L94" s="273"/>
      <c r="M94" s="273"/>
      <c r="N94" s="273"/>
      <c r="O94" s="273"/>
      <c r="P94" s="273"/>
      <c r="Q94" s="273"/>
      <c r="Z94" s="51"/>
    </row>
    <row r="95" spans="1:32" x14ac:dyDescent="0.25">
      <c r="A95" s="273" t="s">
        <v>90</v>
      </c>
      <c r="B95" s="273"/>
      <c r="C95" s="273"/>
      <c r="D95" s="273"/>
      <c r="E95" s="273"/>
      <c r="F95" s="273"/>
      <c r="G95" s="273"/>
      <c r="H95" s="273"/>
      <c r="I95" s="273"/>
      <c r="J95" s="273"/>
      <c r="K95" s="273"/>
      <c r="L95" s="273"/>
      <c r="M95" s="273"/>
      <c r="N95" s="273"/>
      <c r="O95" s="273"/>
      <c r="P95" s="273"/>
      <c r="Q95" s="273"/>
      <c r="Z95" s="51"/>
    </row>
    <row r="96" spans="1:32" x14ac:dyDescent="0.25">
      <c r="A96" s="113"/>
      <c r="B96" s="113"/>
      <c r="C96" s="113"/>
      <c r="D96" s="113"/>
      <c r="E96" s="113"/>
      <c r="F96" s="113"/>
      <c r="G96" s="113"/>
      <c r="H96" s="113"/>
      <c r="I96" s="113"/>
      <c r="J96" s="113"/>
      <c r="K96" s="113"/>
      <c r="L96" s="113"/>
      <c r="M96" s="113"/>
      <c r="N96" s="113"/>
      <c r="O96" s="113"/>
      <c r="P96" s="113"/>
      <c r="Q96" s="113"/>
      <c r="T96" s="92"/>
      <c r="Z96" s="51"/>
    </row>
    <row r="97" spans="1:26" ht="30" customHeight="1" x14ac:dyDescent="0.25">
      <c r="A97" s="291" t="s">
        <v>250</v>
      </c>
      <c r="B97" s="292"/>
      <c r="C97" s="292"/>
      <c r="D97" s="292"/>
      <c r="E97" s="292"/>
      <c r="F97" s="292"/>
      <c r="G97" s="292"/>
      <c r="H97" s="292"/>
      <c r="I97" s="292"/>
      <c r="J97" s="292"/>
      <c r="K97" s="292"/>
      <c r="L97" s="292"/>
      <c r="M97" s="292"/>
      <c r="N97" s="292"/>
      <c r="O97" s="292"/>
      <c r="P97" s="292"/>
      <c r="Q97" s="292"/>
      <c r="T97" s="92"/>
      <c r="Z97" s="51"/>
    </row>
    <row r="98" spans="1:26" ht="8.1" customHeight="1" x14ac:dyDescent="0.25">
      <c r="A98" s="113"/>
      <c r="B98" s="113"/>
      <c r="C98" s="113"/>
      <c r="D98" s="113"/>
      <c r="E98" s="113"/>
      <c r="F98" s="113"/>
      <c r="G98" s="113"/>
      <c r="H98" s="113"/>
      <c r="I98" s="113"/>
      <c r="J98" s="113"/>
      <c r="K98" s="113"/>
      <c r="L98" s="113"/>
      <c r="M98" s="113"/>
      <c r="N98" s="113"/>
      <c r="O98" s="113"/>
      <c r="P98" s="113"/>
      <c r="Q98" s="113"/>
      <c r="T98" s="92"/>
      <c r="Z98" s="51"/>
    </row>
    <row r="99" spans="1:26" ht="30" customHeight="1" x14ac:dyDescent="0.25">
      <c r="A99" s="23" t="s">
        <v>231</v>
      </c>
      <c r="B99" s="23" t="s">
        <v>35</v>
      </c>
      <c r="C99" s="278" t="s">
        <v>36</v>
      </c>
      <c r="D99" s="278"/>
      <c r="E99" s="179" t="s">
        <v>230</v>
      </c>
      <c r="F99" s="23" t="s">
        <v>234</v>
      </c>
      <c r="G99" s="23" t="s">
        <v>232</v>
      </c>
      <c r="H99" s="23" t="s">
        <v>233</v>
      </c>
      <c r="I99" s="179" t="s">
        <v>237</v>
      </c>
      <c r="J99" s="23" t="s">
        <v>37</v>
      </c>
      <c r="K99" s="23" t="s">
        <v>38</v>
      </c>
      <c r="L99" s="23" t="s">
        <v>39</v>
      </c>
      <c r="M99" s="23" t="s">
        <v>40</v>
      </c>
      <c r="N99" s="23" t="s">
        <v>41</v>
      </c>
      <c r="O99" s="23" t="s">
        <v>58</v>
      </c>
      <c r="P99" s="23" t="s">
        <v>59</v>
      </c>
      <c r="Q99" s="23" t="s">
        <v>42</v>
      </c>
      <c r="R99" s="23" t="s">
        <v>91</v>
      </c>
      <c r="S99" s="23" t="s">
        <v>43</v>
      </c>
      <c r="T99" s="23" t="s">
        <v>44</v>
      </c>
      <c r="U99" s="22"/>
      <c r="V99" s="23" t="s">
        <v>45</v>
      </c>
      <c r="W99" s="22"/>
      <c r="X99" s="23" t="s">
        <v>46</v>
      </c>
      <c r="Y99" s="22"/>
      <c r="Z99" s="51"/>
    </row>
    <row r="100" spans="1:26" ht="8.1" customHeight="1" x14ac:dyDescent="0.25">
      <c r="J100" s="22"/>
      <c r="K100" s="22"/>
      <c r="L100" s="22"/>
      <c r="M100" s="22"/>
      <c r="N100" s="22"/>
      <c r="O100" s="22"/>
      <c r="P100" s="22"/>
      <c r="Q100" s="22"/>
      <c r="R100" s="22"/>
      <c r="S100" s="22"/>
      <c r="V100" s="22"/>
      <c r="Z100" s="51"/>
    </row>
    <row r="101" spans="1:26" s="22" customFormat="1" ht="13.15" customHeight="1" x14ac:dyDescent="0.25">
      <c r="A101" s="220"/>
      <c r="B101" s="221"/>
      <c r="C101" s="276"/>
      <c r="D101" s="276"/>
      <c r="E101" s="220"/>
      <c r="F101" s="224"/>
      <c r="G101" s="220"/>
      <c r="H101" s="220"/>
      <c r="I101" s="220"/>
      <c r="J101" s="151"/>
      <c r="K101" s="151"/>
      <c r="L101" s="22" t="str">
        <f>IF(J101="","",DATEDIF(J101,K101,"m")+1)</f>
        <v/>
      </c>
      <c r="M101" s="222"/>
      <c r="N101" s="24" t="str">
        <f>IF(J101="","",$O$14)</f>
        <v/>
      </c>
      <c r="O101" s="225"/>
      <c r="P101" s="225"/>
      <c r="Q101" s="24" t="str">
        <f>IF(ISERROR(L101*M101*N101),"",IF(AND(O101="",P101=""),L101*ROUND(M101*N101,8),IF(P101="",L101*ROUND(M101*O101,8),L101*P101)))</f>
        <v/>
      </c>
      <c r="R101" s="183" t="str">
        <f>IF(ISERROR(L101*M101),"",ROUND((L101*M101/3),4))</f>
        <v/>
      </c>
      <c r="S101" s="183" t="str">
        <f>IFERROR(ROUND(R101*0.25,4),"")</f>
        <v/>
      </c>
      <c r="T101" s="223"/>
      <c r="U101"/>
      <c r="V101" s="24" t="str">
        <f t="shared" ref="V101:V113" si="23">IF(Q101="","",ROUND(Q101*$U$17,2))</f>
        <v/>
      </c>
      <c r="W101"/>
      <c r="X101" s="24" t="str">
        <f t="shared" ref="X101:X113" si="24">IF(Q101="","",Q101+V101)</f>
        <v/>
      </c>
      <c r="Y101"/>
      <c r="Z101" s="180"/>
    </row>
    <row r="102" spans="1:26" ht="13.9" customHeight="1" x14ac:dyDescent="0.25">
      <c r="A102" s="220"/>
      <c r="B102" s="221"/>
      <c r="C102" s="276"/>
      <c r="D102" s="276"/>
      <c r="E102" s="220"/>
      <c r="F102" s="220"/>
      <c r="G102" s="220"/>
      <c r="H102" s="220"/>
      <c r="I102" s="220"/>
      <c r="J102" s="151"/>
      <c r="K102" s="151"/>
      <c r="L102" s="22" t="str">
        <f>IF(J102="","",DATEDIF(J102,K102,"m")+1)</f>
        <v/>
      </c>
      <c r="M102" s="222"/>
      <c r="N102" s="24" t="str">
        <f>IF(J102="","",$O$14)</f>
        <v/>
      </c>
      <c r="O102" s="225"/>
      <c r="P102" s="225"/>
      <c r="Q102" s="24" t="str">
        <f t="shared" ref="Q102:Q113" si="25">IF(ISERROR(L102*M102*N102),"",IF(AND(O102="",P102=""),L102*ROUND(M102*N102,8),IF(P102="",L102*ROUND(M102*O102,8),L102*P102)))</f>
        <v/>
      </c>
      <c r="R102" s="183" t="str">
        <f t="shared" ref="R102:R110" si="26">IF(ISERROR(L102*M102),"",ROUND((L102*M102/3),4))</f>
        <v/>
      </c>
      <c r="S102" s="183" t="str">
        <f t="shared" ref="S102:S110" si="27">IFERROR(ROUND(R102*0.25,4),"")</f>
        <v/>
      </c>
      <c r="T102" s="223"/>
      <c r="V102" s="24" t="str">
        <f t="shared" si="23"/>
        <v/>
      </c>
      <c r="X102" s="24" t="str">
        <f t="shared" si="24"/>
        <v/>
      </c>
      <c r="Z102" s="51"/>
    </row>
    <row r="103" spans="1:26" x14ac:dyDescent="0.25">
      <c r="A103" s="220"/>
      <c r="B103" s="221"/>
      <c r="C103" s="276"/>
      <c r="D103" s="276"/>
      <c r="E103" s="220"/>
      <c r="F103" s="220"/>
      <c r="G103" s="220"/>
      <c r="H103" s="220"/>
      <c r="I103" s="220"/>
      <c r="J103" s="151"/>
      <c r="K103" s="151"/>
      <c r="L103" s="22" t="str">
        <f>IF(J103="","",DATEDIF(J103,K103,"m")+1)</f>
        <v/>
      </c>
      <c r="M103" s="222"/>
      <c r="N103" s="24" t="str">
        <f t="shared" ref="N103:N113" si="28">IF(J103="","",$O$14)</f>
        <v/>
      </c>
      <c r="O103" s="225"/>
      <c r="P103" s="225"/>
      <c r="Q103" s="24" t="str">
        <f t="shared" si="25"/>
        <v/>
      </c>
      <c r="R103" s="183" t="str">
        <f t="shared" si="26"/>
        <v/>
      </c>
      <c r="S103" s="183" t="str">
        <f t="shared" si="27"/>
        <v/>
      </c>
      <c r="T103" s="223"/>
      <c r="V103" s="24" t="str">
        <f t="shared" si="23"/>
        <v/>
      </c>
      <c r="X103" s="24" t="str">
        <f t="shared" si="24"/>
        <v/>
      </c>
      <c r="Z103" s="51"/>
    </row>
    <row r="104" spans="1:26" x14ac:dyDescent="0.25">
      <c r="A104" s="220"/>
      <c r="B104" s="221"/>
      <c r="C104" s="276"/>
      <c r="D104" s="276"/>
      <c r="E104" s="220"/>
      <c r="F104" s="220"/>
      <c r="G104" s="220"/>
      <c r="H104" s="220"/>
      <c r="I104" s="220"/>
      <c r="J104" s="151"/>
      <c r="K104" s="151"/>
      <c r="L104" s="22" t="str">
        <f>IF(J104="","",DATEDIF(J104,K104,"m")+1)</f>
        <v/>
      </c>
      <c r="M104" s="222"/>
      <c r="N104" s="24" t="str">
        <f t="shared" si="28"/>
        <v/>
      </c>
      <c r="O104" s="225"/>
      <c r="P104" s="225"/>
      <c r="Q104" s="24" t="str">
        <f t="shared" si="25"/>
        <v/>
      </c>
      <c r="R104" s="183" t="str">
        <f t="shared" si="26"/>
        <v/>
      </c>
      <c r="S104" s="183" t="str">
        <f t="shared" si="27"/>
        <v/>
      </c>
      <c r="T104" s="223"/>
      <c r="V104" s="24" t="str">
        <f t="shared" si="23"/>
        <v/>
      </c>
      <c r="X104" s="24" t="str">
        <f t="shared" si="24"/>
        <v/>
      </c>
      <c r="Z104" s="51"/>
    </row>
    <row r="105" spans="1:26" x14ac:dyDescent="0.25">
      <c r="A105" s="220"/>
      <c r="B105" s="221"/>
      <c r="C105" s="276"/>
      <c r="D105" s="276"/>
      <c r="E105" s="220"/>
      <c r="F105" s="220"/>
      <c r="G105" s="220"/>
      <c r="H105" s="220"/>
      <c r="I105" s="220"/>
      <c r="J105" s="151"/>
      <c r="K105" s="151"/>
      <c r="L105" s="22" t="str">
        <f t="shared" ref="L105:L113" si="29">IF(J105="","",DATEDIF(J105,K105,"m")+1)</f>
        <v/>
      </c>
      <c r="M105" s="222"/>
      <c r="N105" s="24" t="str">
        <f t="shared" si="28"/>
        <v/>
      </c>
      <c r="O105" s="225"/>
      <c r="P105" s="225"/>
      <c r="Q105" s="24" t="str">
        <f t="shared" si="25"/>
        <v/>
      </c>
      <c r="R105" s="183" t="str">
        <f t="shared" si="26"/>
        <v/>
      </c>
      <c r="S105" s="183" t="str">
        <f t="shared" si="27"/>
        <v/>
      </c>
      <c r="T105" s="223"/>
      <c r="V105" s="24" t="str">
        <f t="shared" si="23"/>
        <v/>
      </c>
      <c r="X105" s="24" t="str">
        <f t="shared" si="24"/>
        <v/>
      </c>
      <c r="Z105" s="51"/>
    </row>
    <row r="106" spans="1:26" x14ac:dyDescent="0.25">
      <c r="A106" s="220"/>
      <c r="B106" s="221"/>
      <c r="C106" s="276"/>
      <c r="D106" s="276"/>
      <c r="E106" s="220"/>
      <c r="F106" s="220"/>
      <c r="G106" s="220"/>
      <c r="H106" s="220"/>
      <c r="I106" s="220"/>
      <c r="J106" s="151"/>
      <c r="K106" s="151"/>
      <c r="L106" s="22" t="str">
        <f t="shared" si="29"/>
        <v/>
      </c>
      <c r="M106" s="222"/>
      <c r="N106" s="24" t="str">
        <f t="shared" si="28"/>
        <v/>
      </c>
      <c r="O106" s="225"/>
      <c r="P106" s="225"/>
      <c r="Q106" s="24" t="str">
        <f t="shared" si="25"/>
        <v/>
      </c>
      <c r="R106" s="183" t="str">
        <f t="shared" si="26"/>
        <v/>
      </c>
      <c r="S106" s="183" t="str">
        <f t="shared" si="27"/>
        <v/>
      </c>
      <c r="T106" s="223"/>
      <c r="V106" s="24" t="str">
        <f t="shared" si="23"/>
        <v/>
      </c>
      <c r="X106" s="24" t="str">
        <f t="shared" si="24"/>
        <v/>
      </c>
      <c r="Z106" s="51"/>
    </row>
    <row r="107" spans="1:26" x14ac:dyDescent="0.25">
      <c r="A107" s="220"/>
      <c r="B107" s="221"/>
      <c r="C107" s="276"/>
      <c r="D107" s="276"/>
      <c r="E107" s="220"/>
      <c r="F107" s="220"/>
      <c r="G107" s="220"/>
      <c r="H107" s="220"/>
      <c r="I107" s="220"/>
      <c r="J107" s="151"/>
      <c r="K107" s="151"/>
      <c r="L107" s="22" t="str">
        <f t="shared" si="29"/>
        <v/>
      </c>
      <c r="M107" s="222"/>
      <c r="N107" s="24" t="str">
        <f t="shared" si="28"/>
        <v/>
      </c>
      <c r="O107" s="225"/>
      <c r="P107" s="225"/>
      <c r="Q107" s="24" t="str">
        <f t="shared" si="25"/>
        <v/>
      </c>
      <c r="R107" s="183" t="str">
        <f t="shared" si="26"/>
        <v/>
      </c>
      <c r="S107" s="183" t="str">
        <f t="shared" si="27"/>
        <v/>
      </c>
      <c r="T107" s="223"/>
      <c r="V107" s="24" t="str">
        <f t="shared" si="23"/>
        <v/>
      </c>
      <c r="X107" s="24" t="str">
        <f t="shared" si="24"/>
        <v/>
      </c>
      <c r="Z107" s="51"/>
    </row>
    <row r="108" spans="1:26" x14ac:dyDescent="0.25">
      <c r="A108" s="220"/>
      <c r="B108" s="220"/>
      <c r="C108" s="276"/>
      <c r="D108" s="276"/>
      <c r="E108" s="220"/>
      <c r="F108" s="220"/>
      <c r="G108" s="220"/>
      <c r="H108" s="220"/>
      <c r="I108" s="220"/>
      <c r="J108" s="151"/>
      <c r="K108" s="151"/>
      <c r="L108" s="22" t="str">
        <f t="shared" si="29"/>
        <v/>
      </c>
      <c r="M108" s="222"/>
      <c r="N108" s="24" t="str">
        <f t="shared" si="28"/>
        <v/>
      </c>
      <c r="O108" s="225"/>
      <c r="P108" s="225"/>
      <c r="Q108" s="24" t="str">
        <f t="shared" si="25"/>
        <v/>
      </c>
      <c r="R108" s="183" t="str">
        <f t="shared" si="26"/>
        <v/>
      </c>
      <c r="S108" s="183" t="str">
        <f t="shared" si="27"/>
        <v/>
      </c>
      <c r="T108" s="223"/>
      <c r="V108" s="24" t="str">
        <f t="shared" si="23"/>
        <v/>
      </c>
      <c r="X108" s="24" t="str">
        <f t="shared" si="24"/>
        <v/>
      </c>
      <c r="Z108" s="51"/>
    </row>
    <row r="109" spans="1:26" x14ac:dyDescent="0.25">
      <c r="A109" s="220"/>
      <c r="B109" s="220"/>
      <c r="C109" s="276"/>
      <c r="D109" s="276"/>
      <c r="E109" s="220"/>
      <c r="F109" s="220"/>
      <c r="G109" s="220"/>
      <c r="H109" s="220"/>
      <c r="I109" s="220"/>
      <c r="J109" s="151"/>
      <c r="K109" s="151"/>
      <c r="L109" s="22" t="str">
        <f t="shared" si="29"/>
        <v/>
      </c>
      <c r="M109" s="222"/>
      <c r="N109" s="24" t="str">
        <f t="shared" si="28"/>
        <v/>
      </c>
      <c r="O109" s="225"/>
      <c r="P109" s="225"/>
      <c r="Q109" s="24" t="str">
        <f t="shared" si="25"/>
        <v/>
      </c>
      <c r="R109" s="183" t="str">
        <f t="shared" si="26"/>
        <v/>
      </c>
      <c r="S109" s="183" t="str">
        <f t="shared" si="27"/>
        <v/>
      </c>
      <c r="T109" s="223"/>
      <c r="V109" s="24" t="str">
        <f t="shared" si="23"/>
        <v/>
      </c>
      <c r="X109" s="24" t="str">
        <f t="shared" si="24"/>
        <v/>
      </c>
      <c r="Z109" s="51"/>
    </row>
    <row r="110" spans="1:26" x14ac:dyDescent="0.25">
      <c r="A110" s="220"/>
      <c r="B110" s="220"/>
      <c r="C110" s="276"/>
      <c r="D110" s="276"/>
      <c r="E110" s="220"/>
      <c r="F110" s="220"/>
      <c r="G110" s="220"/>
      <c r="H110" s="220"/>
      <c r="I110" s="220"/>
      <c r="J110" s="151"/>
      <c r="K110" s="151"/>
      <c r="L110" s="22" t="str">
        <f t="shared" si="29"/>
        <v/>
      </c>
      <c r="M110" s="222"/>
      <c r="N110" s="24" t="str">
        <f t="shared" si="28"/>
        <v/>
      </c>
      <c r="O110" s="225"/>
      <c r="P110" s="225"/>
      <c r="Q110" s="24" t="str">
        <f t="shared" si="25"/>
        <v/>
      </c>
      <c r="R110" s="183" t="str">
        <f t="shared" si="26"/>
        <v/>
      </c>
      <c r="S110" s="183" t="str">
        <f t="shared" si="27"/>
        <v/>
      </c>
      <c r="T110" s="223"/>
      <c r="V110" s="24" t="str">
        <f t="shared" si="23"/>
        <v/>
      </c>
      <c r="X110" s="24" t="str">
        <f t="shared" si="24"/>
        <v/>
      </c>
      <c r="Z110" s="51"/>
    </row>
    <row r="111" spans="1:26" x14ac:dyDescent="0.25">
      <c r="A111" s="220"/>
      <c r="B111" s="220"/>
      <c r="C111" s="276"/>
      <c r="D111" s="276"/>
      <c r="E111" s="220"/>
      <c r="F111" s="220"/>
      <c r="G111" s="220"/>
      <c r="H111" s="220"/>
      <c r="I111" s="220"/>
      <c r="J111" s="151"/>
      <c r="K111" s="151"/>
      <c r="L111" s="22" t="str">
        <f t="shared" si="29"/>
        <v/>
      </c>
      <c r="M111" s="222"/>
      <c r="N111" s="24" t="str">
        <f t="shared" si="28"/>
        <v/>
      </c>
      <c r="O111" s="225"/>
      <c r="P111" s="225"/>
      <c r="Q111" s="24" t="str">
        <f t="shared" si="25"/>
        <v/>
      </c>
      <c r="R111" s="183" t="str">
        <f>IF(ISERROR(L111*M111),"",(L111*M111/3))</f>
        <v/>
      </c>
      <c r="S111" s="183" t="str">
        <f>IFERROR(R111*0.25,"")</f>
        <v/>
      </c>
      <c r="T111" s="223"/>
      <c r="V111" s="24" t="str">
        <f t="shared" si="23"/>
        <v/>
      </c>
      <c r="X111" s="24" t="str">
        <f t="shared" si="24"/>
        <v/>
      </c>
      <c r="Z111" s="51"/>
    </row>
    <row r="112" spans="1:26" x14ac:dyDescent="0.25">
      <c r="A112" s="220"/>
      <c r="B112" s="220"/>
      <c r="C112" s="276"/>
      <c r="D112" s="276"/>
      <c r="E112" s="220"/>
      <c r="F112" s="220"/>
      <c r="G112" s="220"/>
      <c r="H112" s="220"/>
      <c r="I112" s="220"/>
      <c r="J112" s="151"/>
      <c r="K112" s="151"/>
      <c r="L112" s="22" t="str">
        <f t="shared" si="29"/>
        <v/>
      </c>
      <c r="M112" s="222"/>
      <c r="N112" s="24" t="str">
        <f t="shared" si="28"/>
        <v/>
      </c>
      <c r="O112" s="225"/>
      <c r="P112" s="225"/>
      <c r="Q112" s="24" t="str">
        <f t="shared" si="25"/>
        <v/>
      </c>
      <c r="R112" s="183" t="str">
        <f>IF(ISERROR(L112*M112),"",(L112*M112/3))</f>
        <v/>
      </c>
      <c r="S112" s="183" t="str">
        <f>IFERROR(R112*0.25,"")</f>
        <v/>
      </c>
      <c r="T112" s="223"/>
      <c r="V112" s="24" t="str">
        <f t="shared" si="23"/>
        <v/>
      </c>
      <c r="X112" s="24" t="str">
        <f t="shared" si="24"/>
        <v/>
      </c>
      <c r="Z112" s="51"/>
    </row>
    <row r="113" spans="1:26" x14ac:dyDescent="0.25">
      <c r="A113" s="220"/>
      <c r="B113" s="220"/>
      <c r="C113" s="276"/>
      <c r="D113" s="276"/>
      <c r="E113" s="220"/>
      <c r="F113" s="220"/>
      <c r="G113" s="220"/>
      <c r="H113" s="220"/>
      <c r="I113" s="220"/>
      <c r="J113" s="151"/>
      <c r="K113" s="151"/>
      <c r="L113" s="22" t="str">
        <f t="shared" si="29"/>
        <v/>
      </c>
      <c r="M113" s="222"/>
      <c r="N113" s="24" t="str">
        <f t="shared" si="28"/>
        <v/>
      </c>
      <c r="O113" s="225"/>
      <c r="P113" s="225"/>
      <c r="Q113" s="24" t="str">
        <f t="shared" si="25"/>
        <v/>
      </c>
      <c r="R113" s="183" t="str">
        <f>IF(ISERROR(L113*M113),"",(L113*M113/3))</f>
        <v/>
      </c>
      <c r="S113" s="183" t="str">
        <f>IFERROR(R113*0.25,"")</f>
        <v/>
      </c>
      <c r="T113" s="223"/>
      <c r="V113" s="24" t="str">
        <f t="shared" si="23"/>
        <v/>
      </c>
      <c r="X113" s="24" t="str">
        <f t="shared" si="24"/>
        <v/>
      </c>
      <c r="Z113" s="51"/>
    </row>
    <row r="114" spans="1:26" x14ac:dyDescent="0.25">
      <c r="A114" s="14"/>
      <c r="B114" s="14"/>
      <c r="C114" s="14"/>
      <c r="D114" s="14"/>
      <c r="E114" s="14"/>
      <c r="F114" s="14"/>
      <c r="G114" s="14"/>
      <c r="H114" s="14"/>
      <c r="I114" s="14"/>
      <c r="J114" s="14"/>
      <c r="K114" s="14"/>
      <c r="L114" s="14"/>
      <c r="M114" s="27"/>
      <c r="N114" s="25"/>
      <c r="O114" s="14"/>
      <c r="P114" s="14"/>
      <c r="Q114" s="25">
        <f>SUM(Q101:Q113)</f>
        <v>0</v>
      </c>
      <c r="R114" s="184">
        <f>SUM(R101:R113)</f>
        <v>0</v>
      </c>
      <c r="S114" s="184">
        <f>SUM(S101:S113)</f>
        <v>0</v>
      </c>
      <c r="T114" s="14"/>
      <c r="V114" s="25">
        <f>SUM(V101:V113)</f>
        <v>0</v>
      </c>
      <c r="X114" s="25">
        <f>SUM(X101:X113)</f>
        <v>0</v>
      </c>
      <c r="Z114" s="51"/>
    </row>
    <row r="115" spans="1:26" x14ac:dyDescent="0.25">
      <c r="P115" s="20" t="s">
        <v>92</v>
      </c>
      <c r="Q115" s="26">
        <f>ROUND(J12/9,2)</f>
        <v>14655.56</v>
      </c>
      <c r="R115" s="26"/>
      <c r="S115" s="26"/>
      <c r="Z115" s="51"/>
    </row>
    <row r="116" spans="1:26" x14ac:dyDescent="0.25">
      <c r="P116" s="20" t="s">
        <v>93</v>
      </c>
      <c r="Q116" s="26">
        <f>O12</f>
        <v>55633.33</v>
      </c>
      <c r="R116" s="26"/>
      <c r="S116" s="26"/>
      <c r="Z116" s="51"/>
    </row>
    <row r="117" spans="1:26" x14ac:dyDescent="0.25">
      <c r="P117" s="20" t="s">
        <v>94</v>
      </c>
      <c r="Q117" s="26">
        <f>Q114-Q116</f>
        <v>-55633.33</v>
      </c>
      <c r="R117" s="26"/>
      <c r="S117" s="26"/>
      <c r="Z117" s="51"/>
    </row>
    <row r="118" spans="1:26" x14ac:dyDescent="0.25">
      <c r="P118" s="20"/>
      <c r="Q118" s="26"/>
      <c r="R118" s="26"/>
      <c r="S118" s="26"/>
      <c r="Z118" s="51"/>
    </row>
    <row r="119" spans="1:26" x14ac:dyDescent="0.25">
      <c r="P119" s="20" t="s">
        <v>95</v>
      </c>
      <c r="Q119" s="26">
        <f>R114*3</f>
        <v>0</v>
      </c>
      <c r="R119" s="26"/>
      <c r="S119" s="26"/>
      <c r="Z119" s="51"/>
    </row>
    <row r="120" spans="1:26" x14ac:dyDescent="0.25">
      <c r="Z120" s="51"/>
    </row>
    <row r="121" spans="1:26" x14ac:dyDescent="0.25">
      <c r="A121" s="7" t="s">
        <v>96</v>
      </c>
      <c r="Z121" s="51"/>
    </row>
    <row r="122" spans="1:26" x14ac:dyDescent="0.25">
      <c r="A122" s="273" t="s">
        <v>218</v>
      </c>
      <c r="B122" s="273"/>
      <c r="C122" s="273"/>
      <c r="D122" s="273"/>
      <c r="E122" s="273"/>
      <c r="F122" s="273"/>
      <c r="G122" s="273"/>
      <c r="H122" s="273"/>
      <c r="I122" s="273"/>
      <c r="J122" s="273"/>
      <c r="K122" s="273"/>
      <c r="L122" s="273"/>
      <c r="M122" s="273"/>
      <c r="N122" s="273"/>
      <c r="O122" s="273"/>
      <c r="P122" s="273"/>
      <c r="Q122" s="273"/>
      <c r="R122" s="273"/>
      <c r="S122" s="273"/>
      <c r="T122" s="273"/>
      <c r="Z122" s="51"/>
    </row>
    <row r="123" spans="1:26" ht="30" x14ac:dyDescent="0.25">
      <c r="A123" s="23" t="s">
        <v>231</v>
      </c>
      <c r="B123" s="23" t="s">
        <v>35</v>
      </c>
      <c r="C123" s="278" t="s">
        <v>36</v>
      </c>
      <c r="D123" s="278"/>
      <c r="E123" s="179" t="s">
        <v>230</v>
      </c>
      <c r="F123" s="23" t="s">
        <v>234</v>
      </c>
      <c r="G123" s="23" t="s">
        <v>232</v>
      </c>
      <c r="H123" s="23" t="s">
        <v>233</v>
      </c>
      <c r="I123" s="179" t="s">
        <v>237</v>
      </c>
      <c r="J123" s="23" t="s">
        <v>37</v>
      </c>
      <c r="K123" s="23" t="s">
        <v>38</v>
      </c>
      <c r="L123" s="23" t="s">
        <v>39</v>
      </c>
      <c r="M123" s="23" t="s">
        <v>40</v>
      </c>
      <c r="N123" s="23" t="s">
        <v>41</v>
      </c>
      <c r="O123" s="23"/>
      <c r="P123" s="23"/>
      <c r="Q123" s="23" t="s">
        <v>42</v>
      </c>
      <c r="R123" s="23"/>
      <c r="S123" s="23"/>
      <c r="T123" s="23" t="s">
        <v>44</v>
      </c>
      <c r="V123" s="23" t="s">
        <v>45</v>
      </c>
      <c r="X123" s="23" t="s">
        <v>46</v>
      </c>
      <c r="Z123" s="51"/>
    </row>
    <row r="124" spans="1:26" x14ac:dyDescent="0.25">
      <c r="J124" s="22"/>
      <c r="K124" s="22"/>
      <c r="L124" s="22"/>
      <c r="M124" s="22"/>
      <c r="N124" s="22"/>
      <c r="O124" s="22"/>
      <c r="P124" s="22"/>
      <c r="Q124" s="22"/>
      <c r="R124" s="22"/>
      <c r="S124" s="22"/>
      <c r="T124" s="223"/>
      <c r="V124" s="22"/>
      <c r="Z124" s="51"/>
    </row>
    <row r="125" spans="1:26" x14ac:dyDescent="0.25">
      <c r="A125" s="220"/>
      <c r="B125" s="221"/>
      <c r="C125" s="276"/>
      <c r="D125" s="276"/>
      <c r="E125" s="220"/>
      <c r="F125" s="220"/>
      <c r="G125" s="220"/>
      <c r="H125" s="220"/>
      <c r="I125" s="220"/>
      <c r="J125" s="151"/>
      <c r="K125" s="151"/>
      <c r="L125" s="22" t="str">
        <f t="shared" ref="L125:L131" si="30">IF(J125="","",DATEDIF(J125,K125,"m")+1)</f>
        <v/>
      </c>
      <c r="M125" s="222"/>
      <c r="N125" s="225"/>
      <c r="O125" s="24"/>
      <c r="P125" s="24"/>
      <c r="Q125" s="24" t="str">
        <f>IF(ISERROR(L125*M125*N125),"",IF(AND(O125="",P125=""),L125*ROUND(M125*N125,8),IF(P125="",L125*ROUND(M125*O125,8),L125*P125)))</f>
        <v/>
      </c>
      <c r="R125" s="24"/>
      <c r="S125" s="24"/>
      <c r="T125" s="223"/>
      <c r="V125" s="24" t="str">
        <f t="shared" ref="V125:V131" si="31">IF(Q125="","",ROUND(Q125*$U$18,2))</f>
        <v/>
      </c>
      <c r="X125" s="24" t="str">
        <f t="shared" ref="X125:X131" si="32">IF(Q125="","",Q125+V125)</f>
        <v/>
      </c>
      <c r="Z125" s="51"/>
    </row>
    <row r="126" spans="1:26" ht="13.15" customHeight="1" x14ac:dyDescent="0.25">
      <c r="A126" s="220"/>
      <c r="B126" s="221"/>
      <c r="C126" s="276"/>
      <c r="D126" s="276"/>
      <c r="E126" s="220"/>
      <c r="F126" s="220"/>
      <c r="G126" s="220"/>
      <c r="H126" s="220"/>
      <c r="I126" s="220"/>
      <c r="J126" s="151"/>
      <c r="K126" s="151"/>
      <c r="L126" s="22" t="str">
        <f t="shared" si="30"/>
        <v/>
      </c>
      <c r="M126" s="222"/>
      <c r="N126" s="225"/>
      <c r="O126" s="24"/>
      <c r="P126" s="24"/>
      <c r="Q126" s="24" t="str">
        <f t="shared" ref="Q126:Q131" si="33">IF(ISERROR(L126*M126*N126),"",IF(AND(O126="",P126=""),L126*ROUND(M126*N126,8),IF(P126="",L126*ROUND(M126*O126,8),L126*P126)))</f>
        <v/>
      </c>
      <c r="R126" s="24"/>
      <c r="S126" s="24"/>
      <c r="T126" s="223"/>
      <c r="V126" s="24" t="str">
        <f t="shared" si="31"/>
        <v/>
      </c>
      <c r="X126" s="24" t="str">
        <f t="shared" si="32"/>
        <v/>
      </c>
      <c r="Z126" s="51"/>
    </row>
    <row r="127" spans="1:26" x14ac:dyDescent="0.25">
      <c r="A127" s="220"/>
      <c r="B127" s="221"/>
      <c r="C127" s="276"/>
      <c r="D127" s="276"/>
      <c r="E127" s="220"/>
      <c r="F127" s="220"/>
      <c r="G127" s="220"/>
      <c r="H127" s="220"/>
      <c r="I127" s="220"/>
      <c r="J127" s="151"/>
      <c r="K127" s="151"/>
      <c r="L127" s="22" t="str">
        <f t="shared" si="30"/>
        <v/>
      </c>
      <c r="M127" s="222"/>
      <c r="N127" s="225"/>
      <c r="P127" s="24"/>
      <c r="Q127" s="24" t="str">
        <f t="shared" si="33"/>
        <v/>
      </c>
      <c r="R127" s="24"/>
      <c r="S127" s="24"/>
      <c r="T127" s="223"/>
      <c r="V127" s="24" t="str">
        <f t="shared" si="31"/>
        <v/>
      </c>
      <c r="X127" s="24" t="str">
        <f t="shared" si="32"/>
        <v/>
      </c>
      <c r="Z127" s="51"/>
    </row>
    <row r="128" spans="1:26" x14ac:dyDescent="0.25">
      <c r="A128" s="220"/>
      <c r="B128" s="221"/>
      <c r="C128" s="276"/>
      <c r="D128" s="276"/>
      <c r="E128" s="220"/>
      <c r="F128" s="220"/>
      <c r="G128" s="220"/>
      <c r="H128" s="220"/>
      <c r="I128" s="220"/>
      <c r="J128" s="151"/>
      <c r="K128" s="151"/>
      <c r="L128" s="22" t="str">
        <f t="shared" si="30"/>
        <v/>
      </c>
      <c r="M128" s="222"/>
      <c r="N128" s="225"/>
      <c r="P128" s="24"/>
      <c r="Q128" s="24" t="str">
        <f t="shared" si="33"/>
        <v/>
      </c>
      <c r="R128" s="24"/>
      <c r="S128" s="24"/>
      <c r="T128" s="223"/>
      <c r="V128" s="24" t="str">
        <f t="shared" si="31"/>
        <v/>
      </c>
      <c r="X128" s="24" t="str">
        <f t="shared" si="32"/>
        <v/>
      </c>
      <c r="Z128" s="51"/>
    </row>
    <row r="129" spans="1:26" x14ac:dyDescent="0.25">
      <c r="A129" s="220"/>
      <c r="B129" s="221"/>
      <c r="C129" s="276"/>
      <c r="D129" s="276"/>
      <c r="E129" s="220"/>
      <c r="F129" s="220"/>
      <c r="G129" s="220"/>
      <c r="H129" s="220"/>
      <c r="I129" s="220"/>
      <c r="J129" s="151"/>
      <c r="K129" s="151"/>
      <c r="L129" s="22" t="str">
        <f t="shared" si="30"/>
        <v/>
      </c>
      <c r="M129" s="222"/>
      <c r="N129" s="225"/>
      <c r="P129" s="24"/>
      <c r="Q129" s="24" t="str">
        <f t="shared" si="33"/>
        <v/>
      </c>
      <c r="R129" s="24"/>
      <c r="S129" s="24"/>
      <c r="T129" s="223"/>
      <c r="V129" s="24" t="str">
        <f t="shared" si="31"/>
        <v/>
      </c>
      <c r="X129" s="24" t="str">
        <f t="shared" si="32"/>
        <v/>
      </c>
      <c r="Z129" s="51"/>
    </row>
    <row r="130" spans="1:26" x14ac:dyDescent="0.25">
      <c r="A130" s="220"/>
      <c r="B130" s="221"/>
      <c r="C130" s="276"/>
      <c r="D130" s="276"/>
      <c r="E130" s="220"/>
      <c r="F130" s="220"/>
      <c r="G130" s="220"/>
      <c r="H130" s="220"/>
      <c r="I130" s="220"/>
      <c r="J130" s="151"/>
      <c r="K130" s="151"/>
      <c r="L130" s="22" t="str">
        <f t="shared" si="30"/>
        <v/>
      </c>
      <c r="M130" s="222"/>
      <c r="N130" s="225"/>
      <c r="P130" s="24"/>
      <c r="Q130" s="24" t="str">
        <f t="shared" si="33"/>
        <v/>
      </c>
      <c r="R130" s="24"/>
      <c r="S130" s="24"/>
      <c r="T130" s="223"/>
      <c r="V130" s="24" t="str">
        <f t="shared" si="31"/>
        <v/>
      </c>
      <c r="X130" s="24" t="str">
        <f t="shared" si="32"/>
        <v/>
      </c>
      <c r="Z130" s="51"/>
    </row>
    <row r="131" spans="1:26" x14ac:dyDescent="0.25">
      <c r="A131" s="220"/>
      <c r="B131" s="221"/>
      <c r="C131" s="276"/>
      <c r="D131" s="276"/>
      <c r="E131" s="220"/>
      <c r="F131" s="220"/>
      <c r="G131" s="220"/>
      <c r="H131" s="220"/>
      <c r="I131" s="220"/>
      <c r="J131" s="151"/>
      <c r="K131" s="151"/>
      <c r="L131" s="22" t="str">
        <f t="shared" si="30"/>
        <v/>
      </c>
      <c r="M131" s="222"/>
      <c r="N131" s="225"/>
      <c r="P131" s="24"/>
      <c r="Q131" s="24" t="str">
        <f t="shared" si="33"/>
        <v/>
      </c>
      <c r="R131" s="24"/>
      <c r="S131" s="24"/>
      <c r="T131" s="223"/>
      <c r="V131" s="24" t="str">
        <f t="shared" si="31"/>
        <v/>
      </c>
      <c r="X131" s="24" t="str">
        <f t="shared" si="32"/>
        <v/>
      </c>
      <c r="Z131" s="51"/>
    </row>
    <row r="132" spans="1:26" x14ac:dyDescent="0.25">
      <c r="A132" s="14"/>
      <c r="B132" s="14"/>
      <c r="C132" s="14"/>
      <c r="D132" s="14"/>
      <c r="E132" s="14"/>
      <c r="F132" s="14"/>
      <c r="G132" s="14"/>
      <c r="H132" s="14"/>
      <c r="I132" s="14"/>
      <c r="J132" s="14"/>
      <c r="K132" s="14"/>
      <c r="L132" s="14"/>
      <c r="M132" s="27"/>
      <c r="N132" s="25"/>
      <c r="O132" s="14"/>
      <c r="P132" s="14"/>
      <c r="Q132" s="25">
        <f>SUM(Q125:Q131)</f>
        <v>0</v>
      </c>
      <c r="R132" s="25"/>
      <c r="S132" s="25"/>
      <c r="T132" s="14"/>
      <c r="V132" s="25">
        <f>SUM(V125:V131)</f>
        <v>0</v>
      </c>
      <c r="X132" s="25">
        <f>SUM(X125:X131)</f>
        <v>0</v>
      </c>
      <c r="Z132" s="51"/>
    </row>
    <row r="133" spans="1:26" x14ac:dyDescent="0.25">
      <c r="P133" s="20" t="s">
        <v>83</v>
      </c>
      <c r="Q133" s="26">
        <f>P12</f>
        <v>0</v>
      </c>
      <c r="R133" s="26"/>
      <c r="S133" s="26"/>
      <c r="Z133" s="51"/>
    </row>
    <row r="134" spans="1:26" x14ac:dyDescent="0.25">
      <c r="P134" s="20" t="s">
        <v>94</v>
      </c>
      <c r="Q134" s="26">
        <f>Q133-Q132</f>
        <v>0</v>
      </c>
      <c r="R134" s="26"/>
      <c r="S134" s="26"/>
      <c r="Z134" s="51"/>
    </row>
    <row r="135" spans="1:26" x14ac:dyDescent="0.25">
      <c r="Z135" s="51"/>
    </row>
    <row r="136" spans="1:26" x14ac:dyDescent="0.25">
      <c r="V136" s="20" t="s">
        <v>97</v>
      </c>
      <c r="X136" s="20" t="s">
        <v>98</v>
      </c>
      <c r="Z136" s="51"/>
    </row>
    <row r="137" spans="1:26" x14ac:dyDescent="0.25">
      <c r="P137" s="20" t="s">
        <v>99</v>
      </c>
      <c r="Q137" s="26">
        <f>Q36+Q53+Q84+Q114+Q132</f>
        <v>0</v>
      </c>
      <c r="R137" s="26"/>
      <c r="S137" s="26"/>
      <c r="V137" s="26">
        <f>V36+V53+V84+V114+V132</f>
        <v>0</v>
      </c>
      <c r="X137" s="26">
        <f>X36+X53+X84+X114+X132</f>
        <v>0</v>
      </c>
      <c r="Z137" s="51"/>
    </row>
    <row r="138" spans="1:26" x14ac:dyDescent="0.25">
      <c r="P138" s="20" t="s">
        <v>100</v>
      </c>
      <c r="Q138" s="34">
        <f>Q137-Q12</f>
        <v>-222533.33</v>
      </c>
      <c r="R138" s="34"/>
      <c r="S138" s="34"/>
      <c r="Z138" s="51"/>
    </row>
    <row r="139" spans="1:26" x14ac:dyDescent="0.25">
      <c r="Z139" s="51"/>
    </row>
    <row r="140" spans="1:26" x14ac:dyDescent="0.25">
      <c r="Z140" s="51"/>
    </row>
    <row r="141" spans="1:26" x14ac:dyDescent="0.25">
      <c r="P141" s="20" t="s">
        <v>101</v>
      </c>
      <c r="Q141" s="26">
        <f>Q36+Q132</f>
        <v>0</v>
      </c>
      <c r="R141" s="24"/>
      <c r="S141" s="24"/>
      <c r="Z141" s="51"/>
    </row>
    <row r="142" spans="1:26" x14ac:dyDescent="0.25">
      <c r="P142" s="20" t="s">
        <v>102</v>
      </c>
      <c r="Q142" s="26">
        <f>Q53+Q84+Q114</f>
        <v>0</v>
      </c>
      <c r="R142" s="24"/>
      <c r="S142" s="24"/>
      <c r="Z142" s="51"/>
    </row>
    <row r="143" spans="1:26" x14ac:dyDescent="0.25">
      <c r="P143" s="20"/>
      <c r="Q143" s="26"/>
      <c r="R143" s="24"/>
      <c r="S143" s="24"/>
      <c r="Z143" s="51"/>
    </row>
    <row r="144" spans="1:26" x14ac:dyDescent="0.25">
      <c r="P144" s="20"/>
      <c r="Q144" s="26"/>
      <c r="R144" s="24"/>
      <c r="S144" s="24"/>
      <c r="Z144" s="51"/>
    </row>
    <row r="145" spans="16:26" x14ac:dyDescent="0.25">
      <c r="P145" s="20" t="s">
        <v>103</v>
      </c>
      <c r="Q145" s="26">
        <f>Q141+V36+V132</f>
        <v>0</v>
      </c>
      <c r="R145" s="24"/>
      <c r="S145" s="24"/>
      <c r="Z145" s="51"/>
    </row>
    <row r="146" spans="16:26" x14ac:dyDescent="0.25">
      <c r="P146" s="20" t="s">
        <v>104</v>
      </c>
      <c r="Q146" s="26">
        <f>Q142+V53+V84+V114</f>
        <v>0</v>
      </c>
      <c r="R146" s="24"/>
      <c r="S146" s="24"/>
      <c r="Z146" s="51"/>
    </row>
    <row r="147" spans="16:26" x14ac:dyDescent="0.25">
      <c r="P147" s="20"/>
      <c r="Q147" s="24"/>
      <c r="R147" s="24"/>
      <c r="S147" s="24"/>
      <c r="Z147" s="51"/>
    </row>
    <row r="148" spans="16:26" x14ac:dyDescent="0.25">
      <c r="P148" s="20"/>
      <c r="Q148" s="24"/>
      <c r="R148" s="24"/>
      <c r="S148" s="24"/>
      <c r="Z148" s="51"/>
    </row>
    <row r="149" spans="16:26" x14ac:dyDescent="0.25">
      <c r="Z149" s="51"/>
    </row>
    <row r="150" spans="16:26" x14ac:dyDescent="0.25">
      <c r="Z150" s="51"/>
    </row>
    <row r="151" spans="16:26" x14ac:dyDescent="0.25">
      <c r="Z151" s="51"/>
    </row>
  </sheetData>
  <sheetProtection sheet="1" selectLockedCells="1"/>
  <dataConsolidate link="1"/>
  <mergeCells count="73">
    <mergeCell ref="C130:D130"/>
    <mergeCell ref="C111:D111"/>
    <mergeCell ref="C112:D112"/>
    <mergeCell ref="C71:D71"/>
    <mergeCell ref="C72:D72"/>
    <mergeCell ref="C73:D73"/>
    <mergeCell ref="C77:D77"/>
    <mergeCell ref="C78:D78"/>
    <mergeCell ref="C110:D110"/>
    <mergeCell ref="C102:D102"/>
    <mergeCell ref="C83:D83"/>
    <mergeCell ref="A97:Q97"/>
    <mergeCell ref="C131:D131"/>
    <mergeCell ref="C103:D103"/>
    <mergeCell ref="C104:D104"/>
    <mergeCell ref="C105:D105"/>
    <mergeCell ref="C106:D106"/>
    <mergeCell ref="C107:D107"/>
    <mergeCell ref="C123:D123"/>
    <mergeCell ref="C125:D125"/>
    <mergeCell ref="C126:D126"/>
    <mergeCell ref="C127:D127"/>
    <mergeCell ref="A122:T122"/>
    <mergeCell ref="C128:D128"/>
    <mergeCell ref="C129:D129"/>
    <mergeCell ref="C113:D113"/>
    <mergeCell ref="C108:D108"/>
    <mergeCell ref="C109:D109"/>
    <mergeCell ref="C34:D34"/>
    <mergeCell ref="C35:D35"/>
    <mergeCell ref="C44:D44"/>
    <mergeCell ref="C46:D46"/>
    <mergeCell ref="C47:D47"/>
    <mergeCell ref="A40:Q40"/>
    <mergeCell ref="B42:Q42"/>
    <mergeCell ref="C49:D49"/>
    <mergeCell ref="C50:D50"/>
    <mergeCell ref="C51:D51"/>
    <mergeCell ref="C74:D74"/>
    <mergeCell ref="C52:D52"/>
    <mergeCell ref="C33:D33"/>
    <mergeCell ref="C99:D99"/>
    <mergeCell ref="C101:D101"/>
    <mergeCell ref="A64:Q64"/>
    <mergeCell ref="B66:Q66"/>
    <mergeCell ref="A94:Q94"/>
    <mergeCell ref="C68:D68"/>
    <mergeCell ref="C70:D70"/>
    <mergeCell ref="C75:D75"/>
    <mergeCell ref="C76:D76"/>
    <mergeCell ref="A95:Q95"/>
    <mergeCell ref="C79:D79"/>
    <mergeCell ref="C80:D80"/>
    <mergeCell ref="C81:D81"/>
    <mergeCell ref="C82:D82"/>
    <mergeCell ref="C48:D48"/>
    <mergeCell ref="M5:Q5"/>
    <mergeCell ref="B7:G7"/>
    <mergeCell ref="M7:Q7"/>
    <mergeCell ref="L11:M11"/>
    <mergeCell ref="L14:M14"/>
    <mergeCell ref="L12:M12"/>
    <mergeCell ref="B5:G5"/>
    <mergeCell ref="B12:C12"/>
    <mergeCell ref="C13:E13"/>
    <mergeCell ref="V19:W20"/>
    <mergeCell ref="T14:U14"/>
    <mergeCell ref="C30:D30"/>
    <mergeCell ref="C31:D31"/>
    <mergeCell ref="C32:D32"/>
    <mergeCell ref="A24:Q24"/>
    <mergeCell ref="B26:Q26"/>
    <mergeCell ref="C28:D28"/>
  </mergeCells>
  <conditionalFormatting sqref="N30:N35">
    <cfRule type="expression" dxfId="4" priority="14">
      <formula>OR(O30&gt;0,P30&gt;0)</formula>
    </cfRule>
  </conditionalFormatting>
  <conditionalFormatting sqref="N46:N52">
    <cfRule type="expression" dxfId="3" priority="9">
      <formula>OR(O46&gt;0,P46&gt;0)</formula>
    </cfRule>
  </conditionalFormatting>
  <conditionalFormatting sqref="N70:N73">
    <cfRule type="expression" dxfId="2" priority="11">
      <formula>OR(O70&gt;0,P70&gt;0)</formula>
    </cfRule>
  </conditionalFormatting>
  <conditionalFormatting sqref="N101:N113">
    <cfRule type="expression" dxfId="1" priority="1">
      <formula>OR(O101&gt;0,P101&gt;0)</formula>
    </cfRule>
  </conditionalFormatting>
  <conditionalFormatting sqref="N125:N131">
    <cfRule type="expression" dxfId="0" priority="7">
      <formula>OR(O125&gt;0,P125&gt;0)</formula>
    </cfRule>
  </conditionalFormatting>
  <dataValidations xWindow="608" yWindow="723" count="6">
    <dataValidation type="list" errorStyle="warning" allowBlank="1" showInputMessage="1" showErrorMessage="1" errorTitle="Warning" error="You have entered a type not on our list" promptTitle="Fund Source" prompt="Please enter funding type" sqref="J2:J4 J21:J22" xr:uid="{00000000-0002-0000-0100-000000000000}">
      <formula1>$Q$1:$Q$5</formula1>
    </dataValidation>
    <dataValidation allowBlank="1" showInputMessage="1" promptTitle="Salary Cap Rate" prompt="Enter the salary cap rate only if the fund source has a cap.  Otherwise leave blank." sqref="P70:P83 P46:P52 P125:P131 P101:P113" xr:uid="{00000000-0002-0000-0100-000001000000}"/>
    <dataValidation type="decimal" allowBlank="1" showInputMessage="1" showErrorMessage="1" promptTitle="Benefits Rates" prompt="Benefit Rate from Composite Benefit Rate (CBRs) website:_x000a_https://blink.ucsd.edu/finance/costing-analysis/cbrs/index.html" sqref="U17:U18" xr:uid="{00000000-0002-0000-0100-000002000000}">
      <formula1>0</formula1>
      <formula2>1</formula2>
    </dataValidation>
    <dataValidation type="decimal" allowBlank="1" showInputMessage="1" showErrorMessage="1" promptTitle="Benefits Rates" prompt="Enter the projected benefits rate for this salary component." sqref="U15:U16" xr:uid="{00000000-0002-0000-0100-000003000000}">
      <formula1>0</formula1>
      <formula2>1</formula2>
    </dataValidation>
    <dataValidation type="date" allowBlank="1" showInputMessage="1" showErrorMessage="1" errorTitle="Error" error="Date must be in FY 26/27" promptTitle="End Date" prompt="Please enter end date of funding" sqref="K30:K35 K46:K52 K70:K83 K101:K113 K125:K131" xr:uid="{00000000-0002-0000-0100-000004000000}">
      <formula1>46204</formula1>
      <formula2>46568</formula2>
    </dataValidation>
    <dataValidation type="date" allowBlank="1" showInputMessage="1" showErrorMessage="1" errorTitle="Error" error="Date must be in FY 26/27" promptTitle="Start Date" prompt="Please enter start date of funding" sqref="J30:J35 J46:J52 J70:J83 J101:J113 J126:J131 J125" xr:uid="{00000000-0002-0000-0100-000005000000}">
      <formula1>46204</formula1>
      <formula2>46568</formula2>
    </dataValidation>
  </dataValidations>
  <pageMargins left="0.25" right="0.25" top="0.75" bottom="0.75" header="0.3" footer="0.3"/>
  <pageSetup paperSize="3" scale="69" fitToHeight="0" orientation="landscape" r:id="rId1"/>
  <rowBreaks count="2" manualBreakCount="2">
    <brk id="61" max="24" man="1"/>
    <brk id="119" max="24" man="1"/>
  </rowBreaks>
  <drawing r:id="rId2"/>
  <legacyDrawing r:id="rId3"/>
  <extLst>
    <ext xmlns:x14="http://schemas.microsoft.com/office/spreadsheetml/2009/9/main" uri="{CCE6A557-97BC-4b89-ADB6-D9C93CAAB3DF}">
      <x14:dataValidations xmlns:xm="http://schemas.microsoft.com/office/excel/2006/main" xWindow="608" yWindow="723" count="2">
        <x14:dataValidation type="list" errorStyle="warning" allowBlank="1" showInputMessage="1" showErrorMessage="1" error="Please check fund type!" promptTitle="Covered Comp Fund Type" prompt="Please enter fund type" xr:uid="{00000000-0002-0000-0100-000006000000}">
          <x14:formula1>
            <xm:f>DropDown!$E$3:$E$14</xm:f>
          </x14:formula1>
          <xm:sqref>C46:C52 C70:C83 C101:C113 C125:C131 C30:C35</xm:sqref>
        </x14:dataValidation>
        <x14:dataValidation type="list" errorStyle="warning" allowBlank="1" showInputMessage="1" showErrorMessage="1" error="Non-Senate faculty are not eligible" promptTitle="Faculty Rank" prompt="Please enter faculty rank" xr:uid="{00000000-0002-0000-0100-000007000000}">
          <x14:formula1>
            <xm:f>DropDown!$A$3:$A$5</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H23"/>
  <sheetViews>
    <sheetView workbookViewId="0">
      <selection activeCell="D12" sqref="D12"/>
    </sheetView>
  </sheetViews>
  <sheetFormatPr defaultRowHeight="15" x14ac:dyDescent="0.25"/>
  <cols>
    <col min="1" max="1" width="35.85546875" customWidth="1"/>
    <col min="2" max="2" width="8.85546875" style="172"/>
    <col min="4" max="4" width="37.140625" bestFit="1" customWidth="1"/>
    <col min="5" max="5" width="26" customWidth="1"/>
    <col min="6" max="6" width="26" bestFit="1" customWidth="1"/>
    <col min="7" max="7" width="26.28515625" customWidth="1"/>
    <col min="8" max="8" width="21.85546875" customWidth="1"/>
  </cols>
  <sheetData>
    <row r="2" spans="1:8" s="191" customFormat="1" x14ac:dyDescent="0.25">
      <c r="A2" s="191" t="s">
        <v>105</v>
      </c>
      <c r="B2" s="191" t="s">
        <v>6</v>
      </c>
      <c r="C2" s="191" t="s">
        <v>7</v>
      </c>
      <c r="D2" s="191" t="s">
        <v>106</v>
      </c>
      <c r="E2" s="191" t="s">
        <v>107</v>
      </c>
      <c r="F2" s="191" t="s">
        <v>108</v>
      </c>
      <c r="G2" s="191" t="s">
        <v>109</v>
      </c>
      <c r="H2" s="191" t="s">
        <v>110</v>
      </c>
    </row>
    <row r="3" spans="1:8" x14ac:dyDescent="0.25">
      <c r="A3" s="122" t="s">
        <v>193</v>
      </c>
      <c r="B3" s="172">
        <v>1</v>
      </c>
      <c r="C3" t="s">
        <v>188</v>
      </c>
      <c r="D3" t="s">
        <v>189</v>
      </c>
      <c r="E3" t="s">
        <v>111</v>
      </c>
      <c r="F3" t="s">
        <v>112</v>
      </c>
      <c r="G3" t="s">
        <v>113</v>
      </c>
      <c r="H3" t="s">
        <v>114</v>
      </c>
    </row>
    <row r="4" spans="1:8" x14ac:dyDescent="0.25">
      <c r="A4" s="122" t="s">
        <v>194</v>
      </c>
      <c r="B4" s="172">
        <v>2</v>
      </c>
      <c r="D4" t="s">
        <v>211</v>
      </c>
      <c r="E4" t="s">
        <v>115</v>
      </c>
      <c r="F4" t="s">
        <v>116</v>
      </c>
      <c r="G4" t="s">
        <v>117</v>
      </c>
      <c r="H4" t="s">
        <v>118</v>
      </c>
    </row>
    <row r="5" spans="1:8" x14ac:dyDescent="0.25">
      <c r="A5" s="122" t="s">
        <v>195</v>
      </c>
      <c r="B5" s="172">
        <v>3</v>
      </c>
      <c r="D5" t="s">
        <v>191</v>
      </c>
      <c r="E5" t="s">
        <v>112</v>
      </c>
      <c r="F5" t="s">
        <v>119</v>
      </c>
      <c r="G5" t="s">
        <v>120</v>
      </c>
      <c r="H5" t="s">
        <v>121</v>
      </c>
    </row>
    <row r="6" spans="1:8" x14ac:dyDescent="0.25">
      <c r="A6" s="122" t="s">
        <v>196</v>
      </c>
      <c r="B6" s="172">
        <v>4</v>
      </c>
      <c r="D6" t="s">
        <v>238</v>
      </c>
      <c r="E6" t="s">
        <v>116</v>
      </c>
      <c r="F6" t="s">
        <v>122</v>
      </c>
    </row>
    <row r="7" spans="1:8" x14ac:dyDescent="0.25">
      <c r="A7" s="122" t="s">
        <v>197</v>
      </c>
      <c r="B7" s="172">
        <v>5</v>
      </c>
      <c r="D7" t="s">
        <v>190</v>
      </c>
      <c r="E7" t="s">
        <v>119</v>
      </c>
      <c r="F7" t="s">
        <v>123</v>
      </c>
    </row>
    <row r="8" spans="1:8" x14ac:dyDescent="0.25">
      <c r="A8" s="122" t="s">
        <v>198</v>
      </c>
      <c r="B8" s="172">
        <v>6</v>
      </c>
      <c r="D8" t="s">
        <v>212</v>
      </c>
      <c r="E8" t="s">
        <v>122</v>
      </c>
      <c r="F8" t="s">
        <v>124</v>
      </c>
    </row>
    <row r="9" spans="1:8" x14ac:dyDescent="0.25">
      <c r="A9" s="122" t="s">
        <v>199</v>
      </c>
      <c r="B9" s="172">
        <v>7</v>
      </c>
      <c r="D9" t="s">
        <v>214</v>
      </c>
      <c r="E9" t="s">
        <v>123</v>
      </c>
      <c r="F9" t="s">
        <v>125</v>
      </c>
    </row>
    <row r="10" spans="1:8" x14ac:dyDescent="0.25">
      <c r="A10" s="122" t="s">
        <v>200</v>
      </c>
      <c r="B10" s="172">
        <v>8</v>
      </c>
      <c r="D10" t="s">
        <v>192</v>
      </c>
      <c r="E10" t="s">
        <v>124</v>
      </c>
      <c r="F10" t="s">
        <v>126</v>
      </c>
    </row>
    <row r="11" spans="1:8" x14ac:dyDescent="0.25">
      <c r="A11" s="122" t="s">
        <v>201</v>
      </c>
      <c r="B11" s="172">
        <v>9</v>
      </c>
      <c r="D11" t="s">
        <v>213</v>
      </c>
      <c r="E11" t="s">
        <v>125</v>
      </c>
      <c r="F11" t="s">
        <v>127</v>
      </c>
    </row>
    <row r="12" spans="1:8" x14ac:dyDescent="0.25">
      <c r="A12" s="122" t="s">
        <v>202</v>
      </c>
      <c r="B12" s="172" t="s">
        <v>128</v>
      </c>
      <c r="E12" t="s">
        <v>126</v>
      </c>
      <c r="F12" t="s">
        <v>129</v>
      </c>
    </row>
    <row r="13" spans="1:8" x14ac:dyDescent="0.25">
      <c r="A13" s="122" t="s">
        <v>203</v>
      </c>
      <c r="E13" t="s">
        <v>127</v>
      </c>
    </row>
    <row r="14" spans="1:8" x14ac:dyDescent="0.25">
      <c r="A14" s="122" t="s">
        <v>204</v>
      </c>
      <c r="E14" t="s">
        <v>129</v>
      </c>
    </row>
    <row r="15" spans="1:8" x14ac:dyDescent="0.25">
      <c r="A15" s="122" t="s">
        <v>205</v>
      </c>
    </row>
    <row r="16" spans="1:8" ht="30" x14ac:dyDescent="0.25">
      <c r="A16" s="122" t="s">
        <v>206</v>
      </c>
    </row>
    <row r="17" spans="1:1" x14ac:dyDescent="0.25">
      <c r="A17" s="122" t="s">
        <v>207</v>
      </c>
    </row>
    <row r="18" spans="1:1" x14ac:dyDescent="0.25">
      <c r="A18" s="122" t="s">
        <v>208</v>
      </c>
    </row>
    <row r="19" spans="1:1" x14ac:dyDescent="0.25">
      <c r="A19" s="122" t="s">
        <v>209</v>
      </c>
    </row>
    <row r="20" spans="1:1" x14ac:dyDescent="0.25">
      <c r="A20" s="122" t="s">
        <v>210</v>
      </c>
    </row>
    <row r="21" spans="1:1" x14ac:dyDescent="0.25">
      <c r="A21" s="122" t="s">
        <v>219</v>
      </c>
    </row>
    <row r="22" spans="1:1" x14ac:dyDescent="0.25">
      <c r="A22" s="122" t="s">
        <v>220</v>
      </c>
    </row>
    <row r="23" spans="1:1" x14ac:dyDescent="0.25">
      <c r="A23" s="122" t="s">
        <v>221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68"/>
  <sheetViews>
    <sheetView showGridLines="0" zoomScale="75" zoomScaleNormal="75" workbookViewId="0">
      <selection activeCell="B4" sqref="B4"/>
    </sheetView>
  </sheetViews>
  <sheetFormatPr defaultRowHeight="15" x14ac:dyDescent="0.25"/>
  <cols>
    <col min="1" max="1" width="24.7109375" customWidth="1"/>
    <col min="2" max="2" width="17.28515625" customWidth="1"/>
    <col min="3" max="3" width="12.7109375" customWidth="1"/>
    <col min="4" max="4" width="7.140625" customWidth="1"/>
    <col min="5" max="5" width="24.5703125" customWidth="1"/>
    <col min="6" max="6" width="12" customWidth="1"/>
    <col min="7" max="7" width="4.7109375" bestFit="1" customWidth="1"/>
    <col min="8" max="8" width="8.7109375" customWidth="1"/>
    <col min="9" max="9" width="11.7109375" customWidth="1"/>
    <col min="10" max="10" width="13.28515625" customWidth="1"/>
    <col min="11" max="12" width="13.140625" customWidth="1"/>
    <col min="13" max="13" width="12.42578125" style="22" customWidth="1"/>
    <col min="14" max="19" width="15.5703125" bestFit="1" customWidth="1"/>
    <col min="20" max="20" width="15.28515625" customWidth="1"/>
    <col min="21" max="25" width="15.5703125" bestFit="1" customWidth="1"/>
    <col min="26" max="26" width="16.7109375" bestFit="1" customWidth="1"/>
    <col min="27" max="27" width="27.42578125" customWidth="1"/>
  </cols>
  <sheetData>
    <row r="1" spans="1:27" ht="18.75" x14ac:dyDescent="0.3">
      <c r="A1" s="8" t="s">
        <v>130</v>
      </c>
      <c r="B1" s="8"/>
      <c r="C1" s="8"/>
    </row>
    <row r="3" spans="1:27" x14ac:dyDescent="0.25">
      <c r="A3" t="s">
        <v>4</v>
      </c>
      <c r="B3" s="131" t="str">
        <f>Request!F7</f>
        <v>Smith, John</v>
      </c>
    </row>
    <row r="4" spans="1:27" x14ac:dyDescent="0.25">
      <c r="A4" t="s">
        <v>229</v>
      </c>
      <c r="B4" s="226">
        <f>Request!N10</f>
        <v>166900</v>
      </c>
    </row>
    <row r="5" spans="1:27" x14ac:dyDescent="0.25">
      <c r="A5" t="s">
        <v>131</v>
      </c>
      <c r="B5" s="226">
        <f>Request!L10</f>
        <v>131900</v>
      </c>
      <c r="E5" s="7" t="s">
        <v>132</v>
      </c>
      <c r="F5" s="234">
        <v>228000</v>
      </c>
      <c r="G5" s="7"/>
      <c r="I5" s="240"/>
      <c r="K5" s="103"/>
      <c r="M5" s="22" t="s">
        <v>19</v>
      </c>
    </row>
    <row r="6" spans="1:27" x14ac:dyDescent="0.25">
      <c r="A6" t="s">
        <v>133</v>
      </c>
      <c r="B6" s="226">
        <f>Worksheet!K12</f>
        <v>35000</v>
      </c>
      <c r="E6" t="s">
        <v>134</v>
      </c>
      <c r="F6" s="239">
        <f>F5/16</f>
        <v>14250</v>
      </c>
      <c r="I6" s="241"/>
      <c r="K6" s="83"/>
    </row>
    <row r="7" spans="1:27" x14ac:dyDescent="0.25">
      <c r="A7" t="s">
        <v>135</v>
      </c>
      <c r="B7" s="243">
        <f>B4/12</f>
        <v>13908.333333333334</v>
      </c>
      <c r="E7" t="s">
        <v>136</v>
      </c>
      <c r="F7" s="239">
        <f>F5/12</f>
        <v>19000</v>
      </c>
      <c r="K7" s="83"/>
    </row>
    <row r="8" spans="1:27" x14ac:dyDescent="0.25">
      <c r="A8" t="s">
        <v>137</v>
      </c>
      <c r="B8" s="243">
        <f>B4/9</f>
        <v>18544.444444444445</v>
      </c>
      <c r="E8" t="s">
        <v>138</v>
      </c>
      <c r="F8" s="132">
        <f>B7-F6</f>
        <v>-341.66666666666606</v>
      </c>
      <c r="K8" s="83"/>
    </row>
    <row r="9" spans="1:27" x14ac:dyDescent="0.25">
      <c r="A9" t="s">
        <v>139</v>
      </c>
      <c r="B9" s="243">
        <f>B6*0.1</f>
        <v>3500</v>
      </c>
      <c r="E9" t="s">
        <v>140</v>
      </c>
      <c r="F9" s="132">
        <f>B8-F7</f>
        <v>-455.55555555555475</v>
      </c>
      <c r="K9" s="83"/>
    </row>
    <row r="12" spans="1:27" x14ac:dyDescent="0.25">
      <c r="A12" s="294" t="s">
        <v>241</v>
      </c>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row>
    <row r="13" spans="1:27" ht="30" x14ac:dyDescent="0.25">
      <c r="A13" s="133" t="s">
        <v>141</v>
      </c>
      <c r="B13" s="133" t="s">
        <v>225</v>
      </c>
      <c r="C13" s="133" t="s">
        <v>226</v>
      </c>
      <c r="D13" s="133" t="s">
        <v>142</v>
      </c>
      <c r="E13" s="133" t="s">
        <v>235</v>
      </c>
      <c r="F13" s="133" t="s">
        <v>224</v>
      </c>
      <c r="G13" s="133" t="s">
        <v>228</v>
      </c>
      <c r="H13" s="133" t="s">
        <v>227</v>
      </c>
      <c r="I13" s="192" t="s">
        <v>239</v>
      </c>
      <c r="J13" s="134" t="s">
        <v>12</v>
      </c>
      <c r="K13" s="134" t="s">
        <v>143</v>
      </c>
      <c r="L13" s="134" t="s">
        <v>246</v>
      </c>
      <c r="M13" s="134" t="s">
        <v>223</v>
      </c>
      <c r="N13" s="135">
        <v>45108</v>
      </c>
      <c r="O13" s="135">
        <v>45139</v>
      </c>
      <c r="P13" s="135">
        <v>45170</v>
      </c>
      <c r="Q13" s="135">
        <v>45200</v>
      </c>
      <c r="R13" s="135">
        <v>45231</v>
      </c>
      <c r="S13" s="135">
        <v>45261</v>
      </c>
      <c r="T13" s="135">
        <v>45292</v>
      </c>
      <c r="U13" s="135">
        <v>45323</v>
      </c>
      <c r="V13" s="135">
        <v>45352</v>
      </c>
      <c r="W13" s="135">
        <v>45383</v>
      </c>
      <c r="X13" s="135">
        <v>45413</v>
      </c>
      <c r="Y13" s="135">
        <v>45444</v>
      </c>
      <c r="Z13" s="136" t="s">
        <v>144</v>
      </c>
      <c r="AA13" s="133" t="s">
        <v>145</v>
      </c>
    </row>
    <row r="14" spans="1:27" x14ac:dyDescent="0.25">
      <c r="A14" s="227" t="s">
        <v>113</v>
      </c>
      <c r="B14" s="227"/>
      <c r="C14" s="227"/>
      <c r="D14" s="227"/>
      <c r="E14" s="227"/>
      <c r="F14" s="227"/>
      <c r="G14" s="227"/>
      <c r="H14" s="227"/>
      <c r="I14" s="227"/>
      <c r="J14" s="242">
        <v>0.69029359000000001</v>
      </c>
      <c r="K14" s="228">
        <v>46204</v>
      </c>
      <c r="L14" s="228">
        <v>46387</v>
      </c>
      <c r="M14" s="229" t="s">
        <v>247</v>
      </c>
      <c r="N14" s="140">
        <f>IF(AND($K14&lt;=N$13,$L14&gt;N$13),IF($M14="REG",$J14*$B$7,IF($M14="NXX",$F$6*$J14,$J13*$F$8)),0)</f>
        <v>0</v>
      </c>
      <c r="O14" s="140">
        <f t="shared" ref="O14:Y16" si="0">IF(AND($K14&lt;=O$13,$L14&gt;O$13),IF($M14="REG",$J14*$B$7,IF($M14="NXX",$F$6*$J14,$J13*$F$8)),0)</f>
        <v>0</v>
      </c>
      <c r="P14" s="140">
        <f t="shared" si="0"/>
        <v>0</v>
      </c>
      <c r="Q14" s="140">
        <f t="shared" si="0"/>
        <v>0</v>
      </c>
      <c r="R14" s="140">
        <f t="shared" si="0"/>
        <v>0</v>
      </c>
      <c r="S14" s="140">
        <f t="shared" si="0"/>
        <v>0</v>
      </c>
      <c r="T14" s="140">
        <f t="shared" si="0"/>
        <v>0</v>
      </c>
      <c r="U14" s="140">
        <f t="shared" si="0"/>
        <v>0</v>
      </c>
      <c r="V14" s="140">
        <f t="shared" si="0"/>
        <v>0</v>
      </c>
      <c r="W14" s="140">
        <f t="shared" si="0"/>
        <v>0</v>
      </c>
      <c r="X14" s="140">
        <f t="shared" si="0"/>
        <v>0</v>
      </c>
      <c r="Y14" s="140">
        <f t="shared" si="0"/>
        <v>0</v>
      </c>
      <c r="Z14" s="140">
        <f t="shared" ref="Z14:Z20" si="1">SUM(N14:Y14)</f>
        <v>0</v>
      </c>
      <c r="AA14" s="230"/>
    </row>
    <row r="15" spans="1:27" x14ac:dyDescent="0.25">
      <c r="A15" s="227" t="s">
        <v>113</v>
      </c>
      <c r="B15" s="227"/>
      <c r="C15" s="227"/>
      <c r="D15" s="227"/>
      <c r="E15" s="227"/>
      <c r="F15" s="227"/>
      <c r="G15" s="227"/>
      <c r="H15" s="227"/>
      <c r="I15" s="227"/>
      <c r="J15" s="242">
        <v>0.69029359000000001</v>
      </c>
      <c r="K15" s="228">
        <v>46388</v>
      </c>
      <c r="L15" s="228">
        <v>46568</v>
      </c>
      <c r="M15" s="229" t="s">
        <v>247</v>
      </c>
      <c r="N15" s="140">
        <f t="shared" ref="N15:Y26" si="2">IF(AND($K15&lt;=N$13,$L15&gt;N$13),IF($M15="REG",$J15*$B$7,IF($M15="NXX",$F$6*$J15,$J14*$F$8)),0)</f>
        <v>0</v>
      </c>
      <c r="O15" s="140">
        <f t="shared" si="0"/>
        <v>0</v>
      </c>
      <c r="P15" s="140">
        <f t="shared" si="0"/>
        <v>0</v>
      </c>
      <c r="Q15" s="140">
        <f t="shared" si="0"/>
        <v>0</v>
      </c>
      <c r="R15" s="140">
        <f t="shared" si="0"/>
        <v>0</v>
      </c>
      <c r="S15" s="140">
        <f t="shared" si="0"/>
        <v>0</v>
      </c>
      <c r="T15" s="140">
        <f t="shared" si="0"/>
        <v>0</v>
      </c>
      <c r="U15" s="140">
        <f t="shared" si="0"/>
        <v>0</v>
      </c>
      <c r="V15" s="140">
        <f t="shared" si="0"/>
        <v>0</v>
      </c>
      <c r="W15" s="140">
        <f t="shared" si="0"/>
        <v>0</v>
      </c>
      <c r="X15" s="140">
        <f t="shared" si="0"/>
        <v>0</v>
      </c>
      <c r="Y15" s="140">
        <f t="shared" si="0"/>
        <v>0</v>
      </c>
      <c r="Z15" s="140">
        <f t="shared" si="1"/>
        <v>0</v>
      </c>
      <c r="AA15" s="230" t="s">
        <v>146</v>
      </c>
    </row>
    <row r="16" spans="1:27" x14ac:dyDescent="0.25">
      <c r="A16" s="227" t="s">
        <v>117</v>
      </c>
      <c r="B16" s="227"/>
      <c r="C16" s="227"/>
      <c r="D16" s="227"/>
      <c r="E16" s="227"/>
      <c r="F16" s="227"/>
      <c r="G16" s="227"/>
      <c r="H16" s="227"/>
      <c r="I16" s="227"/>
      <c r="J16" s="242">
        <v>0.1</v>
      </c>
      <c r="K16" s="228">
        <v>46204</v>
      </c>
      <c r="L16" s="228">
        <v>46568</v>
      </c>
      <c r="M16" s="229" t="s">
        <v>248</v>
      </c>
      <c r="N16" s="140">
        <f t="shared" si="2"/>
        <v>0</v>
      </c>
      <c r="O16" s="140">
        <f t="shared" si="0"/>
        <v>0</v>
      </c>
      <c r="P16" s="140">
        <f t="shared" si="0"/>
        <v>0</v>
      </c>
      <c r="Q16" s="140">
        <f t="shared" si="0"/>
        <v>0</v>
      </c>
      <c r="R16" s="140">
        <f t="shared" si="0"/>
        <v>0</v>
      </c>
      <c r="S16" s="140">
        <f t="shared" si="0"/>
        <v>0</v>
      </c>
      <c r="T16" s="140">
        <f t="shared" si="0"/>
        <v>0</v>
      </c>
      <c r="U16" s="140">
        <f t="shared" si="0"/>
        <v>0</v>
      </c>
      <c r="V16" s="140">
        <f t="shared" si="0"/>
        <v>0</v>
      </c>
      <c r="W16" s="140">
        <f t="shared" si="0"/>
        <v>0</v>
      </c>
      <c r="X16" s="140">
        <f t="shared" si="0"/>
        <v>0</v>
      </c>
      <c r="Y16" s="140">
        <f t="shared" si="0"/>
        <v>0</v>
      </c>
      <c r="Z16" s="140">
        <f t="shared" si="1"/>
        <v>0</v>
      </c>
      <c r="AA16" s="230"/>
    </row>
    <row r="17" spans="1:27" x14ac:dyDescent="0.25">
      <c r="A17" s="227" t="s">
        <v>120</v>
      </c>
      <c r="B17" s="227"/>
      <c r="C17" s="227"/>
      <c r="D17" s="227"/>
      <c r="E17" s="227"/>
      <c r="F17" s="227"/>
      <c r="G17" s="227"/>
      <c r="H17" s="227"/>
      <c r="I17" s="227"/>
      <c r="J17" s="242"/>
      <c r="K17" s="228">
        <v>46204</v>
      </c>
      <c r="L17" s="228">
        <v>46568</v>
      </c>
      <c r="M17" s="229"/>
      <c r="N17" s="140">
        <f t="shared" si="2"/>
        <v>0</v>
      </c>
      <c r="O17" s="140">
        <f t="shared" si="2"/>
        <v>0</v>
      </c>
      <c r="P17" s="140">
        <f t="shared" si="2"/>
        <v>0</v>
      </c>
      <c r="Q17" s="140">
        <f t="shared" si="2"/>
        <v>0</v>
      </c>
      <c r="R17" s="140">
        <f t="shared" si="2"/>
        <v>0</v>
      </c>
      <c r="S17" s="140">
        <f t="shared" si="2"/>
        <v>0</v>
      </c>
      <c r="T17" s="140">
        <f t="shared" si="2"/>
        <v>0</v>
      </c>
      <c r="U17" s="140">
        <f t="shared" si="2"/>
        <v>0</v>
      </c>
      <c r="V17" s="140">
        <f t="shared" si="2"/>
        <v>0</v>
      </c>
      <c r="W17" s="140">
        <f t="shared" si="2"/>
        <v>0</v>
      </c>
      <c r="X17" s="140">
        <f t="shared" si="2"/>
        <v>0</v>
      </c>
      <c r="Y17" s="140">
        <f t="shared" si="2"/>
        <v>0</v>
      </c>
      <c r="Z17" s="140">
        <f t="shared" si="1"/>
        <v>0</v>
      </c>
      <c r="AA17" s="230"/>
    </row>
    <row r="18" spans="1:27" x14ac:dyDescent="0.25">
      <c r="A18" s="227"/>
      <c r="B18" s="227"/>
      <c r="C18" s="227"/>
      <c r="D18" s="227"/>
      <c r="E18" s="227"/>
      <c r="F18" s="227"/>
      <c r="G18" s="227"/>
      <c r="H18" s="227"/>
      <c r="I18" s="227"/>
      <c r="J18" s="242"/>
      <c r="K18" s="228"/>
      <c r="L18" s="228"/>
      <c r="M18" s="229"/>
      <c r="N18" s="140">
        <f t="shared" si="2"/>
        <v>0</v>
      </c>
      <c r="O18" s="140">
        <f t="shared" si="2"/>
        <v>0</v>
      </c>
      <c r="P18" s="140">
        <f t="shared" si="2"/>
        <v>0</v>
      </c>
      <c r="Q18" s="140">
        <f t="shared" si="2"/>
        <v>0</v>
      </c>
      <c r="R18" s="140">
        <f t="shared" si="2"/>
        <v>0</v>
      </c>
      <c r="S18" s="140">
        <f t="shared" si="2"/>
        <v>0</v>
      </c>
      <c r="T18" s="140">
        <f t="shared" si="2"/>
        <v>0</v>
      </c>
      <c r="U18" s="140">
        <f t="shared" si="2"/>
        <v>0</v>
      </c>
      <c r="V18" s="140">
        <f t="shared" si="2"/>
        <v>0</v>
      </c>
      <c r="W18" s="140">
        <f t="shared" si="2"/>
        <v>0</v>
      </c>
      <c r="X18" s="140">
        <f t="shared" si="2"/>
        <v>0</v>
      </c>
      <c r="Y18" s="140">
        <f t="shared" si="2"/>
        <v>0</v>
      </c>
      <c r="Z18" s="140">
        <f t="shared" si="1"/>
        <v>0</v>
      </c>
      <c r="AA18" s="230"/>
    </row>
    <row r="19" spans="1:27" x14ac:dyDescent="0.25">
      <c r="A19" s="227"/>
      <c r="B19" s="227"/>
      <c r="C19" s="227"/>
      <c r="D19" s="227"/>
      <c r="E19" s="227"/>
      <c r="F19" s="227"/>
      <c r="G19" s="227"/>
      <c r="H19" s="227"/>
      <c r="I19" s="227"/>
      <c r="J19" s="242"/>
      <c r="K19" s="228"/>
      <c r="L19" s="228"/>
      <c r="M19" s="229"/>
      <c r="N19" s="140">
        <f t="shared" si="2"/>
        <v>0</v>
      </c>
      <c r="O19" s="140">
        <f t="shared" si="2"/>
        <v>0</v>
      </c>
      <c r="P19" s="140">
        <f t="shared" si="2"/>
        <v>0</v>
      </c>
      <c r="Q19" s="140">
        <f t="shared" si="2"/>
        <v>0</v>
      </c>
      <c r="R19" s="140">
        <f t="shared" si="2"/>
        <v>0</v>
      </c>
      <c r="S19" s="140">
        <f t="shared" si="2"/>
        <v>0</v>
      </c>
      <c r="T19" s="140">
        <f t="shared" si="2"/>
        <v>0</v>
      </c>
      <c r="U19" s="140">
        <f t="shared" si="2"/>
        <v>0</v>
      </c>
      <c r="V19" s="140">
        <f t="shared" si="2"/>
        <v>0</v>
      </c>
      <c r="W19" s="140">
        <f t="shared" si="2"/>
        <v>0</v>
      </c>
      <c r="X19" s="140">
        <f t="shared" si="2"/>
        <v>0</v>
      </c>
      <c r="Y19" s="140">
        <f t="shared" si="2"/>
        <v>0</v>
      </c>
      <c r="Z19" s="140">
        <f t="shared" si="1"/>
        <v>0</v>
      </c>
      <c r="AA19" s="230"/>
    </row>
    <row r="20" spans="1:27" x14ac:dyDescent="0.25">
      <c r="A20" s="227"/>
      <c r="B20" s="227"/>
      <c r="C20" s="227"/>
      <c r="D20" s="227"/>
      <c r="E20" s="227"/>
      <c r="F20" s="227"/>
      <c r="G20" s="227"/>
      <c r="H20" s="227"/>
      <c r="I20" s="227"/>
      <c r="J20" s="242"/>
      <c r="K20" s="228"/>
      <c r="L20" s="228"/>
      <c r="M20" s="229"/>
      <c r="N20" s="140">
        <f t="shared" si="2"/>
        <v>0</v>
      </c>
      <c r="O20" s="140">
        <f t="shared" si="2"/>
        <v>0</v>
      </c>
      <c r="P20" s="140">
        <f t="shared" si="2"/>
        <v>0</v>
      </c>
      <c r="Q20" s="140">
        <f t="shared" si="2"/>
        <v>0</v>
      </c>
      <c r="R20" s="140">
        <f t="shared" si="2"/>
        <v>0</v>
      </c>
      <c r="S20" s="140">
        <f t="shared" si="2"/>
        <v>0</v>
      </c>
      <c r="T20" s="140">
        <f t="shared" si="2"/>
        <v>0</v>
      </c>
      <c r="U20" s="140">
        <f t="shared" si="2"/>
        <v>0</v>
      </c>
      <c r="V20" s="140">
        <f t="shared" si="2"/>
        <v>0</v>
      </c>
      <c r="W20" s="140">
        <f t="shared" si="2"/>
        <v>0</v>
      </c>
      <c r="X20" s="140">
        <f t="shared" si="2"/>
        <v>0</v>
      </c>
      <c r="Y20" s="140">
        <f t="shared" si="2"/>
        <v>0</v>
      </c>
      <c r="Z20" s="140">
        <f t="shared" si="1"/>
        <v>0</v>
      </c>
      <c r="AA20" s="230"/>
    </row>
    <row r="21" spans="1:27" x14ac:dyDescent="0.25">
      <c r="A21" s="227"/>
      <c r="B21" s="227"/>
      <c r="C21" s="227"/>
      <c r="D21" s="227"/>
      <c r="E21" s="227"/>
      <c r="F21" s="227"/>
      <c r="G21" s="227"/>
      <c r="H21" s="227"/>
      <c r="I21" s="227"/>
      <c r="J21" s="242"/>
      <c r="K21" s="228"/>
      <c r="L21" s="228"/>
      <c r="M21" s="229"/>
      <c r="N21" s="140">
        <f t="shared" si="2"/>
        <v>0</v>
      </c>
      <c r="O21" s="140">
        <f t="shared" si="2"/>
        <v>0</v>
      </c>
      <c r="P21" s="140">
        <f t="shared" si="2"/>
        <v>0</v>
      </c>
      <c r="Q21" s="140">
        <f t="shared" si="2"/>
        <v>0</v>
      </c>
      <c r="R21" s="140">
        <f t="shared" si="2"/>
        <v>0</v>
      </c>
      <c r="S21" s="140">
        <f t="shared" si="2"/>
        <v>0</v>
      </c>
      <c r="T21" s="140">
        <f t="shared" si="2"/>
        <v>0</v>
      </c>
      <c r="U21" s="140">
        <f t="shared" si="2"/>
        <v>0</v>
      </c>
      <c r="V21" s="140">
        <f t="shared" si="2"/>
        <v>0</v>
      </c>
      <c r="W21" s="140">
        <f t="shared" si="2"/>
        <v>0</v>
      </c>
      <c r="X21" s="140">
        <f t="shared" si="2"/>
        <v>0</v>
      </c>
      <c r="Y21" s="140">
        <f t="shared" si="2"/>
        <v>0</v>
      </c>
      <c r="Z21" s="140">
        <f t="shared" ref="Z21:Z27" si="3">SUM(N21:Y21)</f>
        <v>0</v>
      </c>
      <c r="AA21" s="230"/>
    </row>
    <row r="22" spans="1:27" x14ac:dyDescent="0.25">
      <c r="A22" s="137"/>
      <c r="B22" s="137"/>
      <c r="C22" s="137"/>
      <c r="D22" s="137"/>
      <c r="E22" s="137"/>
      <c r="F22" s="137"/>
      <c r="G22" s="137"/>
      <c r="H22" s="137"/>
      <c r="I22" s="137"/>
      <c r="J22" s="142"/>
      <c r="K22" s="138"/>
      <c r="L22" s="138"/>
      <c r="M22" s="139"/>
      <c r="N22" s="140">
        <f t="shared" si="2"/>
        <v>0</v>
      </c>
      <c r="O22" s="140">
        <f t="shared" si="2"/>
        <v>0</v>
      </c>
      <c r="P22" s="140">
        <f t="shared" si="2"/>
        <v>0</v>
      </c>
      <c r="Q22" s="140">
        <f t="shared" si="2"/>
        <v>0</v>
      </c>
      <c r="R22" s="140">
        <f t="shared" si="2"/>
        <v>0</v>
      </c>
      <c r="S22" s="140">
        <f t="shared" si="2"/>
        <v>0</v>
      </c>
      <c r="T22" s="140">
        <f t="shared" si="2"/>
        <v>0</v>
      </c>
      <c r="U22" s="140">
        <f t="shared" si="2"/>
        <v>0</v>
      </c>
      <c r="V22" s="140">
        <f t="shared" si="2"/>
        <v>0</v>
      </c>
      <c r="W22" s="140">
        <f t="shared" si="2"/>
        <v>0</v>
      </c>
      <c r="X22" s="140">
        <f t="shared" si="2"/>
        <v>0</v>
      </c>
      <c r="Y22" s="140">
        <f t="shared" si="2"/>
        <v>0</v>
      </c>
      <c r="Z22" s="140">
        <f t="shared" si="3"/>
        <v>0</v>
      </c>
      <c r="AA22" s="230"/>
    </row>
    <row r="23" spans="1:27" hidden="1" x14ac:dyDescent="0.25">
      <c r="A23" s="137"/>
      <c r="B23" s="137"/>
      <c r="C23" s="137"/>
      <c r="D23" s="137"/>
      <c r="E23" s="137"/>
      <c r="F23" s="137"/>
      <c r="G23" s="137"/>
      <c r="H23" s="137"/>
      <c r="I23" s="137"/>
      <c r="J23" s="142"/>
      <c r="K23" s="138"/>
      <c r="L23" s="138"/>
      <c r="M23" s="139"/>
      <c r="N23" s="140">
        <f t="shared" si="2"/>
        <v>0</v>
      </c>
      <c r="O23" s="140">
        <f t="shared" si="2"/>
        <v>0</v>
      </c>
      <c r="P23" s="140">
        <f t="shared" si="2"/>
        <v>0</v>
      </c>
      <c r="Q23" s="140">
        <f t="shared" si="2"/>
        <v>0</v>
      </c>
      <c r="R23" s="140">
        <f t="shared" si="2"/>
        <v>0</v>
      </c>
      <c r="S23" s="140">
        <f t="shared" si="2"/>
        <v>0</v>
      </c>
      <c r="T23" s="140">
        <f t="shared" si="2"/>
        <v>0</v>
      </c>
      <c r="U23" s="140">
        <f t="shared" si="2"/>
        <v>0</v>
      </c>
      <c r="V23" s="140">
        <f t="shared" si="2"/>
        <v>0</v>
      </c>
      <c r="W23" s="140">
        <f t="shared" si="2"/>
        <v>0</v>
      </c>
      <c r="X23" s="140">
        <f t="shared" si="2"/>
        <v>0</v>
      </c>
      <c r="Y23" s="140">
        <f t="shared" si="2"/>
        <v>0</v>
      </c>
      <c r="Z23" s="140">
        <f t="shared" si="3"/>
        <v>0</v>
      </c>
      <c r="AA23" s="230"/>
    </row>
    <row r="24" spans="1:27" hidden="1" x14ac:dyDescent="0.25">
      <c r="A24" s="137"/>
      <c r="B24" s="137"/>
      <c r="C24" s="137"/>
      <c r="D24" s="137"/>
      <c r="E24" s="137"/>
      <c r="F24" s="137"/>
      <c r="G24" s="137"/>
      <c r="H24" s="137"/>
      <c r="I24" s="137"/>
      <c r="J24" s="142"/>
      <c r="K24" s="138"/>
      <c r="L24" s="138"/>
      <c r="M24" s="139"/>
      <c r="N24" s="140">
        <f t="shared" si="2"/>
        <v>0</v>
      </c>
      <c r="O24" s="140">
        <f t="shared" si="2"/>
        <v>0</v>
      </c>
      <c r="P24" s="140">
        <f t="shared" si="2"/>
        <v>0</v>
      </c>
      <c r="Q24" s="140">
        <f t="shared" si="2"/>
        <v>0</v>
      </c>
      <c r="R24" s="140">
        <f t="shared" si="2"/>
        <v>0</v>
      </c>
      <c r="S24" s="140">
        <f t="shared" si="2"/>
        <v>0</v>
      </c>
      <c r="T24" s="140">
        <f t="shared" si="2"/>
        <v>0</v>
      </c>
      <c r="U24" s="140">
        <f t="shared" si="2"/>
        <v>0</v>
      </c>
      <c r="V24" s="140">
        <f t="shared" si="2"/>
        <v>0</v>
      </c>
      <c r="W24" s="140">
        <f t="shared" si="2"/>
        <v>0</v>
      </c>
      <c r="X24" s="140">
        <f t="shared" si="2"/>
        <v>0</v>
      </c>
      <c r="Y24" s="140">
        <f t="shared" si="2"/>
        <v>0</v>
      </c>
      <c r="Z24" s="140">
        <f t="shared" si="3"/>
        <v>0</v>
      </c>
      <c r="AA24" s="230"/>
    </row>
    <row r="25" spans="1:27" hidden="1" x14ac:dyDescent="0.25">
      <c r="A25" s="137"/>
      <c r="B25" s="137"/>
      <c r="C25" s="137"/>
      <c r="D25" s="137"/>
      <c r="E25" s="137"/>
      <c r="F25" s="137"/>
      <c r="G25" s="137"/>
      <c r="H25" s="137"/>
      <c r="I25" s="137"/>
      <c r="J25" s="142"/>
      <c r="K25" s="138"/>
      <c r="L25" s="138"/>
      <c r="M25" s="139"/>
      <c r="N25" s="140">
        <f t="shared" si="2"/>
        <v>0</v>
      </c>
      <c r="O25" s="140">
        <f t="shared" si="2"/>
        <v>0</v>
      </c>
      <c r="P25" s="140">
        <f t="shared" si="2"/>
        <v>0</v>
      </c>
      <c r="Q25" s="140">
        <f t="shared" si="2"/>
        <v>0</v>
      </c>
      <c r="R25" s="140">
        <f t="shared" si="2"/>
        <v>0</v>
      </c>
      <c r="S25" s="140">
        <f t="shared" si="2"/>
        <v>0</v>
      </c>
      <c r="T25" s="140">
        <f t="shared" si="2"/>
        <v>0</v>
      </c>
      <c r="U25" s="140">
        <f t="shared" si="2"/>
        <v>0</v>
      </c>
      <c r="V25" s="140">
        <f t="shared" si="2"/>
        <v>0</v>
      </c>
      <c r="W25" s="140">
        <f t="shared" si="2"/>
        <v>0</v>
      </c>
      <c r="X25" s="140">
        <f t="shared" si="2"/>
        <v>0</v>
      </c>
      <c r="Y25" s="140">
        <f t="shared" si="2"/>
        <v>0</v>
      </c>
      <c r="Z25" s="140">
        <f t="shared" si="3"/>
        <v>0</v>
      </c>
      <c r="AA25" s="230"/>
    </row>
    <row r="26" spans="1:27" hidden="1" x14ac:dyDescent="0.25">
      <c r="A26" s="137"/>
      <c r="B26" s="137"/>
      <c r="C26" s="137"/>
      <c r="D26" s="137"/>
      <c r="E26" s="137"/>
      <c r="F26" s="137"/>
      <c r="G26" s="137"/>
      <c r="H26" s="137"/>
      <c r="I26" s="137"/>
      <c r="J26" s="142"/>
      <c r="K26" s="138"/>
      <c r="L26" s="138"/>
      <c r="M26" s="139"/>
      <c r="N26" s="140">
        <f t="shared" si="2"/>
        <v>0</v>
      </c>
      <c r="O26" s="140">
        <f t="shared" si="2"/>
        <v>0</v>
      </c>
      <c r="P26" s="140">
        <f t="shared" si="2"/>
        <v>0</v>
      </c>
      <c r="Q26" s="140">
        <f t="shared" si="2"/>
        <v>0</v>
      </c>
      <c r="R26" s="140">
        <f t="shared" si="2"/>
        <v>0</v>
      </c>
      <c r="S26" s="140">
        <f t="shared" si="2"/>
        <v>0</v>
      </c>
      <c r="T26" s="140">
        <f t="shared" si="2"/>
        <v>0</v>
      </c>
      <c r="U26" s="140">
        <f t="shared" si="2"/>
        <v>0</v>
      </c>
      <c r="V26" s="140">
        <f t="shared" si="2"/>
        <v>0</v>
      </c>
      <c r="W26" s="140">
        <f t="shared" si="2"/>
        <v>0</v>
      </c>
      <c r="X26" s="140">
        <f t="shared" si="2"/>
        <v>0</v>
      </c>
      <c r="Y26" s="140">
        <f t="shared" si="2"/>
        <v>0</v>
      </c>
      <c r="Z26" s="140">
        <f t="shared" si="3"/>
        <v>0</v>
      </c>
      <c r="AA26" s="230"/>
    </row>
    <row r="27" spans="1:27" hidden="1" x14ac:dyDescent="0.25">
      <c r="A27" s="137"/>
      <c r="B27" s="137"/>
      <c r="C27" s="137"/>
      <c r="D27" s="137"/>
      <c r="E27" s="293" t="s">
        <v>147</v>
      </c>
      <c r="F27" s="293"/>
      <c r="G27" s="293"/>
      <c r="H27" s="293"/>
      <c r="I27" s="293"/>
      <c r="J27" s="293"/>
      <c r="K27" s="293"/>
      <c r="L27" s="293"/>
      <c r="M27" s="293"/>
      <c r="N27" s="293"/>
      <c r="O27" s="293"/>
      <c r="P27" s="293"/>
      <c r="Q27" s="293"/>
      <c r="R27" s="293"/>
      <c r="S27" s="293"/>
      <c r="T27" s="293"/>
      <c r="U27" s="293"/>
      <c r="V27" s="293"/>
      <c r="W27" s="293"/>
      <c r="X27" s="293"/>
      <c r="Y27" s="140">
        <f>IF(AND($K27&lt;=Y$13,$L27&gt;Y$13),IF($M27="HST",$J27*#REF!,IF($M27="NXX",$F$6*$J27,$J26*$F$8)),0)</f>
        <v>0</v>
      </c>
      <c r="Z27" s="140">
        <f t="shared" si="3"/>
        <v>0</v>
      </c>
      <c r="AA27" s="230"/>
    </row>
    <row r="28" spans="1:27" x14ac:dyDescent="0.25">
      <c r="A28" s="141"/>
      <c r="B28" s="141"/>
      <c r="C28" s="141"/>
      <c r="D28" s="141"/>
      <c r="E28" s="141"/>
      <c r="F28" s="141"/>
      <c r="G28" s="141"/>
      <c r="H28" s="141"/>
      <c r="I28" s="141"/>
      <c r="J28" s="143"/>
      <c r="K28" s="141"/>
      <c r="L28" s="111" t="s">
        <v>148</v>
      </c>
      <c r="M28" s="144"/>
      <c r="N28" s="145">
        <f t="shared" ref="N28:Z28" si="4">SUM(N14:N27)</f>
        <v>0</v>
      </c>
      <c r="O28" s="145">
        <f t="shared" si="4"/>
        <v>0</v>
      </c>
      <c r="P28" s="145">
        <f t="shared" si="4"/>
        <v>0</v>
      </c>
      <c r="Q28" s="145">
        <f t="shared" si="4"/>
        <v>0</v>
      </c>
      <c r="R28" s="145">
        <f t="shared" si="4"/>
        <v>0</v>
      </c>
      <c r="S28" s="145">
        <f t="shared" si="4"/>
        <v>0</v>
      </c>
      <c r="T28" s="145">
        <f t="shared" si="4"/>
        <v>0</v>
      </c>
      <c r="U28" s="145">
        <f t="shared" si="4"/>
        <v>0</v>
      </c>
      <c r="V28" s="145">
        <f t="shared" si="4"/>
        <v>0</v>
      </c>
      <c r="W28" s="145">
        <f t="shared" si="4"/>
        <v>0</v>
      </c>
      <c r="X28" s="145">
        <f t="shared" si="4"/>
        <v>0</v>
      </c>
      <c r="Y28" s="145">
        <f t="shared" si="4"/>
        <v>0</v>
      </c>
      <c r="Z28" s="145">
        <f t="shared" si="4"/>
        <v>0</v>
      </c>
      <c r="AA28" s="230"/>
    </row>
    <row r="29" spans="1:27" x14ac:dyDescent="0.25">
      <c r="A29" s="141"/>
      <c r="B29" s="141"/>
      <c r="C29" s="141"/>
      <c r="D29" s="141"/>
      <c r="E29" s="141"/>
      <c r="F29" s="141"/>
      <c r="G29" s="141"/>
      <c r="H29" s="141"/>
      <c r="I29" s="141"/>
      <c r="J29" s="143"/>
      <c r="K29" s="141"/>
      <c r="L29" s="111" t="s">
        <v>149</v>
      </c>
      <c r="M29" s="144"/>
      <c r="N29" s="145">
        <f>ROUND(B5/12,2)</f>
        <v>10991.67</v>
      </c>
      <c r="O29" s="145">
        <f>ROUND(B5/12,2)</f>
        <v>10991.67</v>
      </c>
      <c r="P29" s="145">
        <f>ROUND(B5/12,2)</f>
        <v>10991.67</v>
      </c>
      <c r="Q29" s="145">
        <f>ROUND(B5/12,2)</f>
        <v>10991.67</v>
      </c>
      <c r="R29" s="145">
        <f>ROUND(B5/12,2)</f>
        <v>10991.67</v>
      </c>
      <c r="S29" s="145">
        <f>ROUND(B5/12,2)</f>
        <v>10991.67</v>
      </c>
      <c r="T29" s="145">
        <f>ROUND(B5/12,2)</f>
        <v>10991.67</v>
      </c>
      <c r="U29" s="145">
        <f>ROUND(B5/12,2)</f>
        <v>10991.67</v>
      </c>
      <c r="V29" s="145">
        <f>ROUND(B5/12,2)</f>
        <v>10991.67</v>
      </c>
      <c r="W29" s="145">
        <f>ROUND(B5/12,2)</f>
        <v>10991.67</v>
      </c>
      <c r="X29" s="145">
        <f>ROUND(B5/12,2)</f>
        <v>10991.67</v>
      </c>
      <c r="Y29" s="145">
        <f>ROUND(B5/12,2)</f>
        <v>10991.67</v>
      </c>
      <c r="Z29" s="145">
        <f>ROUND(B5,2)</f>
        <v>131900</v>
      </c>
      <c r="AA29" s="230"/>
    </row>
    <row r="30" spans="1:27" x14ac:dyDescent="0.25">
      <c r="A30" s="141"/>
      <c r="B30" s="141"/>
      <c r="C30" s="141"/>
      <c r="D30" s="141"/>
      <c r="E30" s="141"/>
      <c r="F30" s="141"/>
      <c r="G30" s="141"/>
      <c r="H30" s="141"/>
      <c r="I30" s="141"/>
      <c r="J30" s="143"/>
      <c r="K30" s="141"/>
      <c r="L30" s="111" t="s">
        <v>150</v>
      </c>
      <c r="M30" s="144"/>
      <c r="N30" s="145">
        <f t="shared" ref="N30:Z30" si="5">N29-N28</f>
        <v>10991.67</v>
      </c>
      <c r="O30" s="145">
        <f t="shared" si="5"/>
        <v>10991.67</v>
      </c>
      <c r="P30" s="145">
        <f t="shared" si="5"/>
        <v>10991.67</v>
      </c>
      <c r="Q30" s="145">
        <f t="shared" si="5"/>
        <v>10991.67</v>
      </c>
      <c r="R30" s="145">
        <f t="shared" si="5"/>
        <v>10991.67</v>
      </c>
      <c r="S30" s="145">
        <f t="shared" si="5"/>
        <v>10991.67</v>
      </c>
      <c r="T30" s="145">
        <f t="shared" si="5"/>
        <v>10991.67</v>
      </c>
      <c r="U30" s="145">
        <f t="shared" si="5"/>
        <v>10991.67</v>
      </c>
      <c r="V30" s="145">
        <f t="shared" si="5"/>
        <v>10991.67</v>
      </c>
      <c r="W30" s="145">
        <f t="shared" si="5"/>
        <v>10991.67</v>
      </c>
      <c r="X30" s="145">
        <f t="shared" si="5"/>
        <v>10991.67</v>
      </c>
      <c r="Y30" s="145">
        <f t="shared" si="5"/>
        <v>10991.67</v>
      </c>
      <c r="Z30" s="145">
        <f t="shared" si="5"/>
        <v>131900</v>
      </c>
      <c r="AA30" s="230"/>
    </row>
    <row r="31" spans="1:27" s="295" customFormat="1" x14ac:dyDescent="0.25">
      <c r="A31" s="295" t="s">
        <v>242</v>
      </c>
    </row>
    <row r="32" spans="1:27" x14ac:dyDescent="0.25">
      <c r="A32" s="227" t="s">
        <v>114</v>
      </c>
      <c r="B32" s="227"/>
      <c r="C32" s="227"/>
      <c r="D32" s="227"/>
      <c r="E32" s="227"/>
      <c r="F32" s="227"/>
      <c r="G32" s="227"/>
      <c r="H32" s="227"/>
      <c r="I32" s="227"/>
      <c r="J32" s="242">
        <v>0.1</v>
      </c>
      <c r="K32" s="228">
        <v>46204</v>
      </c>
      <c r="L32" s="228">
        <v>46568</v>
      </c>
      <c r="M32" s="229" t="s">
        <v>249</v>
      </c>
      <c r="N32" s="140">
        <f>IF(AND($K32&lt;=N$13,$L32&gt;N$13),IF($M32="NNC",$J32*$B$7,IF($M32="NXX",$F$6*$J32,$J31*$F$8)),0)</f>
        <v>0</v>
      </c>
      <c r="O32" s="140">
        <f t="shared" ref="O32:Y33" si="6">IF(AND($K32&lt;=O$13,$L32&gt;O$13),IF($M32="NNC",$J32*$B$7,IF($M32="NXX",$F$6*$J32,$J31*$F$8)),0)</f>
        <v>0</v>
      </c>
      <c r="P32" s="140">
        <f t="shared" si="6"/>
        <v>0</v>
      </c>
      <c r="Q32" s="140">
        <f t="shared" si="6"/>
        <v>0</v>
      </c>
      <c r="R32" s="140">
        <f t="shared" si="6"/>
        <v>0</v>
      </c>
      <c r="S32" s="140">
        <f t="shared" si="6"/>
        <v>0</v>
      </c>
      <c r="T32" s="140">
        <f t="shared" si="6"/>
        <v>0</v>
      </c>
      <c r="U32" s="140">
        <f t="shared" si="6"/>
        <v>0</v>
      </c>
      <c r="V32" s="140">
        <f t="shared" si="6"/>
        <v>0</v>
      </c>
      <c r="W32" s="140">
        <f t="shared" si="6"/>
        <v>0</v>
      </c>
      <c r="X32" s="140">
        <f t="shared" si="6"/>
        <v>0</v>
      </c>
      <c r="Y32" s="140">
        <f t="shared" si="6"/>
        <v>0</v>
      </c>
      <c r="Z32" s="140">
        <f t="shared" ref="Z32:Z46" si="7">SUM(N32:Y32)</f>
        <v>0</v>
      </c>
      <c r="AA32" s="230"/>
    </row>
    <row r="33" spans="1:27" x14ac:dyDescent="0.25">
      <c r="A33" s="227" t="s">
        <v>118</v>
      </c>
      <c r="B33" s="227"/>
      <c r="C33" s="227"/>
      <c r="D33" s="227"/>
      <c r="E33" s="227"/>
      <c r="F33" s="227"/>
      <c r="G33" s="227"/>
      <c r="H33" s="227"/>
      <c r="I33" s="227"/>
      <c r="J33" s="242">
        <v>0.10970641</v>
      </c>
      <c r="K33" s="228">
        <v>46204</v>
      </c>
      <c r="L33" s="228">
        <v>46568</v>
      </c>
      <c r="M33" s="229" t="s">
        <v>248</v>
      </c>
      <c r="N33" s="140">
        <f t="shared" ref="N33:Y47" si="8">IF(AND($K33&lt;=N$13,$L33&gt;N$13),IF($M33="NNC",$J33*$B$7,IF($M33="NXX",$F$6*$J33,$J32*$F$8)),0)</f>
        <v>0</v>
      </c>
      <c r="O33" s="140">
        <f t="shared" si="6"/>
        <v>0</v>
      </c>
      <c r="P33" s="140">
        <f t="shared" si="6"/>
        <v>0</v>
      </c>
      <c r="Q33" s="140">
        <f t="shared" si="6"/>
        <v>0</v>
      </c>
      <c r="R33" s="140">
        <f t="shared" si="6"/>
        <v>0</v>
      </c>
      <c r="S33" s="140">
        <f t="shared" si="6"/>
        <v>0</v>
      </c>
      <c r="T33" s="140">
        <f t="shared" si="6"/>
        <v>0</v>
      </c>
      <c r="U33" s="140">
        <f t="shared" si="6"/>
        <v>0</v>
      </c>
      <c r="V33" s="140">
        <f t="shared" si="6"/>
        <v>0</v>
      </c>
      <c r="W33" s="140">
        <f t="shared" si="6"/>
        <v>0</v>
      </c>
      <c r="X33" s="140">
        <f t="shared" si="6"/>
        <v>0</v>
      </c>
      <c r="Y33" s="140">
        <f t="shared" si="6"/>
        <v>0</v>
      </c>
      <c r="Z33" s="140">
        <f t="shared" si="7"/>
        <v>0</v>
      </c>
      <c r="AA33" s="230"/>
    </row>
    <row r="34" spans="1:27" x14ac:dyDescent="0.25">
      <c r="A34" s="227" t="s">
        <v>121</v>
      </c>
      <c r="B34" s="227"/>
      <c r="C34" s="227"/>
      <c r="D34" s="227"/>
      <c r="E34" s="227"/>
      <c r="F34" s="227"/>
      <c r="G34" s="227"/>
      <c r="H34" s="227"/>
      <c r="I34" s="227"/>
      <c r="J34" s="242"/>
      <c r="K34" s="228">
        <v>46204</v>
      </c>
      <c r="L34" s="228">
        <v>46568</v>
      </c>
      <c r="M34" s="229"/>
      <c r="N34" s="140">
        <f t="shared" si="8"/>
        <v>0</v>
      </c>
      <c r="O34" s="140">
        <f t="shared" si="8"/>
        <v>0</v>
      </c>
      <c r="P34" s="140">
        <f t="shared" si="8"/>
        <v>0</v>
      </c>
      <c r="Q34" s="140">
        <f t="shared" si="8"/>
        <v>0</v>
      </c>
      <c r="R34" s="140">
        <f t="shared" si="8"/>
        <v>0</v>
      </c>
      <c r="S34" s="140">
        <f t="shared" si="8"/>
        <v>0</v>
      </c>
      <c r="T34" s="140">
        <f t="shared" si="8"/>
        <v>0</v>
      </c>
      <c r="U34" s="140">
        <f t="shared" si="8"/>
        <v>0</v>
      </c>
      <c r="V34" s="140">
        <f t="shared" si="8"/>
        <v>0</v>
      </c>
      <c r="W34" s="140">
        <f t="shared" si="8"/>
        <v>0</v>
      </c>
      <c r="X34" s="140">
        <f t="shared" si="8"/>
        <v>0</v>
      </c>
      <c r="Y34" s="140">
        <f t="shared" si="8"/>
        <v>0</v>
      </c>
      <c r="Z34" s="140">
        <f t="shared" si="7"/>
        <v>0</v>
      </c>
      <c r="AA34" s="230"/>
    </row>
    <row r="35" spans="1:27" x14ac:dyDescent="0.25">
      <c r="A35" s="227"/>
      <c r="B35" s="227"/>
      <c r="C35" s="227"/>
      <c r="D35" s="227"/>
      <c r="E35" s="227"/>
      <c r="F35" s="227"/>
      <c r="G35" s="227"/>
      <c r="H35" s="227"/>
      <c r="I35" s="227"/>
      <c r="J35" s="242"/>
      <c r="K35" s="228"/>
      <c r="L35" s="228"/>
      <c r="M35" s="229"/>
      <c r="N35" s="140">
        <f t="shared" si="8"/>
        <v>0</v>
      </c>
      <c r="O35" s="140">
        <f t="shared" si="8"/>
        <v>0</v>
      </c>
      <c r="P35" s="140">
        <f t="shared" si="8"/>
        <v>0</v>
      </c>
      <c r="Q35" s="140">
        <f t="shared" si="8"/>
        <v>0</v>
      </c>
      <c r="R35" s="140">
        <f t="shared" si="8"/>
        <v>0</v>
      </c>
      <c r="S35" s="140">
        <f t="shared" si="8"/>
        <v>0</v>
      </c>
      <c r="T35" s="140">
        <f t="shared" si="8"/>
        <v>0</v>
      </c>
      <c r="U35" s="140">
        <f t="shared" si="8"/>
        <v>0</v>
      </c>
      <c r="V35" s="140">
        <f t="shared" si="8"/>
        <v>0</v>
      </c>
      <c r="W35" s="140">
        <f t="shared" si="8"/>
        <v>0</v>
      </c>
      <c r="X35" s="140">
        <f t="shared" si="8"/>
        <v>0</v>
      </c>
      <c r="Y35" s="140">
        <f t="shared" si="8"/>
        <v>0</v>
      </c>
      <c r="Z35" s="140">
        <f t="shared" si="7"/>
        <v>0</v>
      </c>
      <c r="AA35" s="230"/>
    </row>
    <row r="36" spans="1:27" x14ac:dyDescent="0.25">
      <c r="A36" s="227"/>
      <c r="B36" s="227"/>
      <c r="C36" s="227"/>
      <c r="D36" s="227"/>
      <c r="E36" s="227"/>
      <c r="F36" s="227"/>
      <c r="G36" s="227"/>
      <c r="H36" s="227"/>
      <c r="I36" s="227"/>
      <c r="J36" s="242"/>
      <c r="K36" s="228"/>
      <c r="L36" s="228"/>
      <c r="M36" s="229"/>
      <c r="N36" s="140">
        <f t="shared" si="8"/>
        <v>0</v>
      </c>
      <c r="O36" s="140">
        <f t="shared" si="8"/>
        <v>0</v>
      </c>
      <c r="P36" s="140">
        <f t="shared" si="8"/>
        <v>0</v>
      </c>
      <c r="Q36" s="140">
        <f t="shared" si="8"/>
        <v>0</v>
      </c>
      <c r="R36" s="140">
        <f t="shared" si="8"/>
        <v>0</v>
      </c>
      <c r="S36" s="140">
        <f t="shared" si="8"/>
        <v>0</v>
      </c>
      <c r="T36" s="140">
        <f t="shared" si="8"/>
        <v>0</v>
      </c>
      <c r="U36" s="140">
        <f t="shared" si="8"/>
        <v>0</v>
      </c>
      <c r="V36" s="140">
        <f t="shared" si="8"/>
        <v>0</v>
      </c>
      <c r="W36" s="140">
        <f t="shared" si="8"/>
        <v>0</v>
      </c>
      <c r="X36" s="140">
        <f t="shared" si="8"/>
        <v>0</v>
      </c>
      <c r="Y36" s="140">
        <f t="shared" si="8"/>
        <v>0</v>
      </c>
      <c r="Z36" s="140">
        <f t="shared" si="7"/>
        <v>0</v>
      </c>
      <c r="AA36" s="230"/>
    </row>
    <row r="37" spans="1:27" x14ac:dyDescent="0.25">
      <c r="A37" s="227"/>
      <c r="B37" s="227"/>
      <c r="C37" s="227"/>
      <c r="D37" s="227"/>
      <c r="E37" s="227"/>
      <c r="F37" s="227"/>
      <c r="G37" s="227"/>
      <c r="H37" s="227"/>
      <c r="I37" s="227"/>
      <c r="J37" s="242"/>
      <c r="K37" s="228"/>
      <c r="L37" s="228"/>
      <c r="M37" s="229"/>
      <c r="N37" s="140">
        <f t="shared" si="8"/>
        <v>0</v>
      </c>
      <c r="O37" s="140">
        <f t="shared" si="8"/>
        <v>0</v>
      </c>
      <c r="P37" s="140">
        <f t="shared" si="8"/>
        <v>0</v>
      </c>
      <c r="Q37" s="140">
        <f t="shared" si="8"/>
        <v>0</v>
      </c>
      <c r="R37" s="140">
        <f t="shared" si="8"/>
        <v>0</v>
      </c>
      <c r="S37" s="140">
        <f t="shared" si="8"/>
        <v>0</v>
      </c>
      <c r="T37" s="140">
        <f t="shared" si="8"/>
        <v>0</v>
      </c>
      <c r="U37" s="140">
        <f t="shared" si="8"/>
        <v>0</v>
      </c>
      <c r="V37" s="140">
        <f t="shared" si="8"/>
        <v>0</v>
      </c>
      <c r="W37" s="140">
        <f t="shared" si="8"/>
        <v>0</v>
      </c>
      <c r="X37" s="140">
        <f t="shared" si="8"/>
        <v>0</v>
      </c>
      <c r="Y37" s="140">
        <f t="shared" si="8"/>
        <v>0</v>
      </c>
      <c r="Z37" s="140">
        <f t="shared" si="7"/>
        <v>0</v>
      </c>
      <c r="AA37" s="230"/>
    </row>
    <row r="38" spans="1:27" hidden="1" x14ac:dyDescent="0.25">
      <c r="A38" s="227"/>
      <c r="B38" s="227"/>
      <c r="C38" s="227"/>
      <c r="D38" s="227"/>
      <c r="E38" s="227"/>
      <c r="F38" s="227"/>
      <c r="G38" s="227"/>
      <c r="H38" s="227"/>
      <c r="I38" s="227"/>
      <c r="J38" s="242"/>
      <c r="K38" s="228"/>
      <c r="L38" s="228"/>
      <c r="M38" s="229"/>
      <c r="N38" s="140">
        <f t="shared" si="8"/>
        <v>0</v>
      </c>
      <c r="O38" s="140">
        <f t="shared" si="8"/>
        <v>0</v>
      </c>
      <c r="P38" s="140">
        <f t="shared" si="8"/>
        <v>0</v>
      </c>
      <c r="Q38" s="140">
        <f t="shared" si="8"/>
        <v>0</v>
      </c>
      <c r="R38" s="140">
        <f t="shared" si="8"/>
        <v>0</v>
      </c>
      <c r="S38" s="140">
        <f t="shared" si="8"/>
        <v>0</v>
      </c>
      <c r="T38" s="140">
        <f t="shared" si="8"/>
        <v>0</v>
      </c>
      <c r="U38" s="140">
        <f t="shared" si="8"/>
        <v>0</v>
      </c>
      <c r="V38" s="140">
        <f t="shared" si="8"/>
        <v>0</v>
      </c>
      <c r="W38" s="140">
        <f t="shared" si="8"/>
        <v>0</v>
      </c>
      <c r="X38" s="140">
        <f t="shared" si="8"/>
        <v>0</v>
      </c>
      <c r="Y38" s="140">
        <f t="shared" si="8"/>
        <v>0</v>
      </c>
      <c r="Z38" s="140">
        <f t="shared" si="7"/>
        <v>0</v>
      </c>
      <c r="AA38" s="230"/>
    </row>
    <row r="39" spans="1:27" hidden="1" x14ac:dyDescent="0.25">
      <c r="A39" s="137"/>
      <c r="B39" s="137"/>
      <c r="C39" s="137"/>
      <c r="D39" s="137"/>
      <c r="E39" s="137"/>
      <c r="F39" s="137"/>
      <c r="G39" s="137"/>
      <c r="H39" s="137"/>
      <c r="I39" s="137"/>
      <c r="J39" s="142"/>
      <c r="K39" s="138"/>
      <c r="L39" s="138"/>
      <c r="M39" s="139"/>
      <c r="N39" s="140">
        <f t="shared" si="8"/>
        <v>0</v>
      </c>
      <c r="O39" s="140">
        <f t="shared" si="8"/>
        <v>0</v>
      </c>
      <c r="P39" s="140">
        <f t="shared" si="8"/>
        <v>0</v>
      </c>
      <c r="Q39" s="140">
        <f t="shared" si="8"/>
        <v>0</v>
      </c>
      <c r="R39" s="140">
        <f t="shared" si="8"/>
        <v>0</v>
      </c>
      <c r="S39" s="140">
        <f t="shared" si="8"/>
        <v>0</v>
      </c>
      <c r="T39" s="140">
        <f t="shared" si="8"/>
        <v>0</v>
      </c>
      <c r="U39" s="140">
        <f t="shared" si="8"/>
        <v>0</v>
      </c>
      <c r="V39" s="140">
        <f t="shared" si="8"/>
        <v>0</v>
      </c>
      <c r="W39" s="140">
        <f t="shared" si="8"/>
        <v>0</v>
      </c>
      <c r="X39" s="140">
        <f t="shared" si="8"/>
        <v>0</v>
      </c>
      <c r="Y39" s="140">
        <f t="shared" si="8"/>
        <v>0</v>
      </c>
      <c r="Z39" s="140">
        <f t="shared" si="7"/>
        <v>0</v>
      </c>
      <c r="AA39" s="230"/>
    </row>
    <row r="40" spans="1:27" hidden="1" x14ac:dyDescent="0.25">
      <c r="A40" s="137"/>
      <c r="B40" s="137"/>
      <c r="C40" s="137"/>
      <c r="D40" s="137"/>
      <c r="E40" s="137"/>
      <c r="F40" s="137"/>
      <c r="G40" s="137"/>
      <c r="H40" s="137"/>
      <c r="I40" s="137"/>
      <c r="J40" s="142"/>
      <c r="K40" s="138"/>
      <c r="L40" s="138"/>
      <c r="M40" s="139"/>
      <c r="N40" s="140">
        <f t="shared" si="8"/>
        <v>0</v>
      </c>
      <c r="O40" s="140">
        <f t="shared" si="8"/>
        <v>0</v>
      </c>
      <c r="P40" s="140">
        <f t="shared" si="8"/>
        <v>0</v>
      </c>
      <c r="Q40" s="140">
        <f t="shared" si="8"/>
        <v>0</v>
      </c>
      <c r="R40" s="140">
        <f t="shared" si="8"/>
        <v>0</v>
      </c>
      <c r="S40" s="140">
        <f t="shared" si="8"/>
        <v>0</v>
      </c>
      <c r="T40" s="140">
        <f t="shared" si="8"/>
        <v>0</v>
      </c>
      <c r="U40" s="140">
        <f t="shared" si="8"/>
        <v>0</v>
      </c>
      <c r="V40" s="140">
        <f t="shared" si="8"/>
        <v>0</v>
      </c>
      <c r="W40" s="140">
        <f t="shared" si="8"/>
        <v>0</v>
      </c>
      <c r="X40" s="140">
        <f t="shared" si="8"/>
        <v>0</v>
      </c>
      <c r="Y40" s="140">
        <f t="shared" si="8"/>
        <v>0</v>
      </c>
      <c r="Z40" s="140">
        <f t="shared" si="7"/>
        <v>0</v>
      </c>
      <c r="AA40" s="230"/>
    </row>
    <row r="41" spans="1:27" hidden="1" x14ac:dyDescent="0.25">
      <c r="A41" s="137"/>
      <c r="B41" s="137"/>
      <c r="C41" s="137"/>
      <c r="D41" s="137"/>
      <c r="E41" s="137"/>
      <c r="F41" s="137"/>
      <c r="G41" s="137"/>
      <c r="H41" s="137"/>
      <c r="I41" s="137"/>
      <c r="J41" s="142"/>
      <c r="K41" s="138"/>
      <c r="L41" s="138"/>
      <c r="M41" s="139"/>
      <c r="N41" s="140">
        <f t="shared" si="8"/>
        <v>0</v>
      </c>
      <c r="O41" s="140">
        <f t="shared" si="8"/>
        <v>0</v>
      </c>
      <c r="P41" s="140">
        <f t="shared" si="8"/>
        <v>0</v>
      </c>
      <c r="Q41" s="140">
        <f t="shared" si="8"/>
        <v>0</v>
      </c>
      <c r="R41" s="140">
        <f t="shared" si="8"/>
        <v>0</v>
      </c>
      <c r="S41" s="140">
        <f t="shared" si="8"/>
        <v>0</v>
      </c>
      <c r="T41" s="140">
        <f t="shared" si="8"/>
        <v>0</v>
      </c>
      <c r="U41" s="140">
        <f t="shared" si="8"/>
        <v>0</v>
      </c>
      <c r="V41" s="140">
        <f t="shared" si="8"/>
        <v>0</v>
      </c>
      <c r="W41" s="140">
        <f t="shared" si="8"/>
        <v>0</v>
      </c>
      <c r="X41" s="140">
        <f t="shared" si="8"/>
        <v>0</v>
      </c>
      <c r="Y41" s="140">
        <f t="shared" si="8"/>
        <v>0</v>
      </c>
      <c r="Z41" s="140">
        <f t="shared" si="7"/>
        <v>0</v>
      </c>
      <c r="AA41" s="230"/>
    </row>
    <row r="42" spans="1:27" hidden="1" x14ac:dyDescent="0.25">
      <c r="A42" s="137"/>
      <c r="B42" s="137"/>
      <c r="C42" s="137"/>
      <c r="D42" s="137"/>
      <c r="E42" s="137"/>
      <c r="F42" s="137"/>
      <c r="G42" s="137"/>
      <c r="H42" s="137"/>
      <c r="I42" s="137"/>
      <c r="J42" s="142"/>
      <c r="K42" s="138"/>
      <c r="L42" s="138"/>
      <c r="M42" s="139"/>
      <c r="N42" s="140">
        <f t="shared" si="8"/>
        <v>0</v>
      </c>
      <c r="O42" s="140">
        <f t="shared" si="8"/>
        <v>0</v>
      </c>
      <c r="P42" s="140">
        <f t="shared" si="8"/>
        <v>0</v>
      </c>
      <c r="Q42" s="140">
        <f t="shared" si="8"/>
        <v>0</v>
      </c>
      <c r="R42" s="140">
        <f t="shared" si="8"/>
        <v>0</v>
      </c>
      <c r="S42" s="140">
        <f t="shared" si="8"/>
        <v>0</v>
      </c>
      <c r="T42" s="140">
        <f t="shared" si="8"/>
        <v>0</v>
      </c>
      <c r="U42" s="140">
        <f t="shared" si="8"/>
        <v>0</v>
      </c>
      <c r="V42" s="140">
        <f t="shared" si="8"/>
        <v>0</v>
      </c>
      <c r="W42" s="140">
        <f t="shared" si="8"/>
        <v>0</v>
      </c>
      <c r="X42" s="140">
        <f t="shared" si="8"/>
        <v>0</v>
      </c>
      <c r="Y42" s="140">
        <f t="shared" si="8"/>
        <v>0</v>
      </c>
      <c r="Z42" s="140">
        <f t="shared" si="7"/>
        <v>0</v>
      </c>
      <c r="AA42" s="230"/>
    </row>
    <row r="43" spans="1:27" hidden="1" x14ac:dyDescent="0.25">
      <c r="A43" s="137"/>
      <c r="B43" s="137"/>
      <c r="C43" s="137"/>
      <c r="D43" s="137"/>
      <c r="E43" s="137"/>
      <c r="F43" s="137"/>
      <c r="G43" s="137"/>
      <c r="H43" s="137"/>
      <c r="I43" s="137"/>
      <c r="J43" s="142"/>
      <c r="K43" s="138"/>
      <c r="L43" s="138"/>
      <c r="M43" s="139"/>
      <c r="N43" s="140">
        <f t="shared" si="8"/>
        <v>0</v>
      </c>
      <c r="O43" s="140">
        <f t="shared" si="8"/>
        <v>0</v>
      </c>
      <c r="P43" s="140">
        <f t="shared" si="8"/>
        <v>0</v>
      </c>
      <c r="Q43" s="140">
        <f t="shared" si="8"/>
        <v>0</v>
      </c>
      <c r="R43" s="140">
        <f t="shared" si="8"/>
        <v>0</v>
      </c>
      <c r="S43" s="140">
        <f t="shared" si="8"/>
        <v>0</v>
      </c>
      <c r="T43" s="140">
        <f t="shared" si="8"/>
        <v>0</v>
      </c>
      <c r="U43" s="140">
        <f t="shared" si="8"/>
        <v>0</v>
      </c>
      <c r="V43" s="140">
        <f t="shared" si="8"/>
        <v>0</v>
      </c>
      <c r="W43" s="140">
        <f t="shared" si="8"/>
        <v>0</v>
      </c>
      <c r="X43" s="140">
        <f t="shared" si="8"/>
        <v>0</v>
      </c>
      <c r="Y43" s="140">
        <f t="shared" si="8"/>
        <v>0</v>
      </c>
      <c r="Z43" s="140">
        <f t="shared" si="7"/>
        <v>0</v>
      </c>
      <c r="AA43" s="230"/>
    </row>
    <row r="44" spans="1:27" hidden="1" x14ac:dyDescent="0.25">
      <c r="A44" s="137"/>
      <c r="B44" s="137"/>
      <c r="C44" s="137"/>
      <c r="D44" s="137"/>
      <c r="E44" s="137"/>
      <c r="F44" s="137"/>
      <c r="G44" s="137"/>
      <c r="H44" s="137"/>
      <c r="I44" s="137"/>
      <c r="J44" s="142"/>
      <c r="K44" s="138"/>
      <c r="L44" s="138"/>
      <c r="M44" s="139"/>
      <c r="N44" s="140">
        <f t="shared" si="8"/>
        <v>0</v>
      </c>
      <c r="O44" s="140">
        <f t="shared" si="8"/>
        <v>0</v>
      </c>
      <c r="P44" s="140">
        <f t="shared" si="8"/>
        <v>0</v>
      </c>
      <c r="Q44" s="140">
        <f t="shared" si="8"/>
        <v>0</v>
      </c>
      <c r="R44" s="140">
        <f t="shared" si="8"/>
        <v>0</v>
      </c>
      <c r="S44" s="140">
        <f t="shared" si="8"/>
        <v>0</v>
      </c>
      <c r="T44" s="140">
        <f t="shared" si="8"/>
        <v>0</v>
      </c>
      <c r="U44" s="140">
        <f t="shared" si="8"/>
        <v>0</v>
      </c>
      <c r="V44" s="140">
        <f t="shared" si="8"/>
        <v>0</v>
      </c>
      <c r="W44" s="140">
        <f t="shared" si="8"/>
        <v>0</v>
      </c>
      <c r="X44" s="140">
        <f t="shared" si="8"/>
        <v>0</v>
      </c>
      <c r="Y44" s="140">
        <f t="shared" si="8"/>
        <v>0</v>
      </c>
      <c r="Z44" s="140">
        <f t="shared" si="7"/>
        <v>0</v>
      </c>
      <c r="AA44" s="230"/>
    </row>
    <row r="45" spans="1:27" hidden="1" x14ac:dyDescent="0.25">
      <c r="A45" s="137"/>
      <c r="B45" s="137"/>
      <c r="C45" s="137"/>
      <c r="D45" s="137"/>
      <c r="E45" s="137"/>
      <c r="F45" s="137"/>
      <c r="G45" s="137"/>
      <c r="H45" s="137"/>
      <c r="I45" s="137"/>
      <c r="J45" s="142"/>
      <c r="K45" s="138"/>
      <c r="L45" s="138"/>
      <c r="M45" s="139"/>
      <c r="N45" s="140">
        <f t="shared" si="8"/>
        <v>0</v>
      </c>
      <c r="O45" s="140">
        <f t="shared" si="8"/>
        <v>0</v>
      </c>
      <c r="P45" s="140">
        <f t="shared" si="8"/>
        <v>0</v>
      </c>
      <c r="Q45" s="140">
        <f t="shared" si="8"/>
        <v>0</v>
      </c>
      <c r="R45" s="140">
        <f t="shared" si="8"/>
        <v>0</v>
      </c>
      <c r="S45" s="140">
        <f t="shared" si="8"/>
        <v>0</v>
      </c>
      <c r="T45" s="140">
        <f t="shared" si="8"/>
        <v>0</v>
      </c>
      <c r="U45" s="140">
        <f t="shared" si="8"/>
        <v>0</v>
      </c>
      <c r="V45" s="140">
        <f t="shared" si="8"/>
        <v>0</v>
      </c>
      <c r="W45" s="140">
        <f t="shared" si="8"/>
        <v>0</v>
      </c>
      <c r="X45" s="140">
        <f t="shared" si="8"/>
        <v>0</v>
      </c>
      <c r="Y45" s="140">
        <f t="shared" si="8"/>
        <v>0</v>
      </c>
      <c r="Z45" s="140">
        <f t="shared" si="7"/>
        <v>0</v>
      </c>
      <c r="AA45" s="230"/>
    </row>
    <row r="46" spans="1:27" hidden="1" x14ac:dyDescent="0.25">
      <c r="A46" s="137"/>
      <c r="B46" s="137"/>
      <c r="C46" s="137"/>
      <c r="D46" s="137"/>
      <c r="E46" s="137"/>
      <c r="F46" s="137"/>
      <c r="G46" s="137"/>
      <c r="H46" s="137"/>
      <c r="I46" s="137"/>
      <c r="J46" s="142"/>
      <c r="K46" s="138"/>
      <c r="L46" s="138"/>
      <c r="M46" s="139"/>
      <c r="N46" s="140">
        <f t="shared" si="8"/>
        <v>0</v>
      </c>
      <c r="O46" s="140">
        <f t="shared" si="8"/>
        <v>0</v>
      </c>
      <c r="P46" s="140">
        <f t="shared" si="8"/>
        <v>0</v>
      </c>
      <c r="Q46" s="140">
        <f t="shared" si="8"/>
        <v>0</v>
      </c>
      <c r="R46" s="140">
        <f t="shared" si="8"/>
        <v>0</v>
      </c>
      <c r="S46" s="140">
        <f t="shared" si="8"/>
        <v>0</v>
      </c>
      <c r="T46" s="140">
        <f t="shared" si="8"/>
        <v>0</v>
      </c>
      <c r="U46" s="140">
        <f t="shared" si="8"/>
        <v>0</v>
      </c>
      <c r="V46" s="140">
        <f t="shared" si="8"/>
        <v>0</v>
      </c>
      <c r="W46" s="140">
        <f t="shared" si="8"/>
        <v>0</v>
      </c>
      <c r="X46" s="140">
        <f t="shared" si="8"/>
        <v>0</v>
      </c>
      <c r="Y46" s="140">
        <f t="shared" si="8"/>
        <v>0</v>
      </c>
      <c r="Z46" s="140">
        <f t="shared" si="7"/>
        <v>0</v>
      </c>
      <c r="AA46" s="230"/>
    </row>
    <row r="47" spans="1:27" hidden="1" x14ac:dyDescent="0.25">
      <c r="A47" s="141"/>
      <c r="B47" s="141"/>
      <c r="C47" s="141"/>
      <c r="D47" s="141"/>
      <c r="E47" s="141"/>
      <c r="F47" s="141"/>
      <c r="G47" s="141"/>
      <c r="H47" s="141"/>
      <c r="I47" s="141"/>
      <c r="J47" s="143"/>
      <c r="K47" s="141"/>
      <c r="L47" s="141"/>
      <c r="M47" s="139"/>
      <c r="N47" s="140">
        <f t="shared" si="8"/>
        <v>0</v>
      </c>
      <c r="O47" s="140">
        <f t="shared" si="8"/>
        <v>0</v>
      </c>
      <c r="P47" s="140">
        <f t="shared" si="8"/>
        <v>0</v>
      </c>
      <c r="Q47" s="140">
        <f t="shared" si="8"/>
        <v>0</v>
      </c>
      <c r="R47" s="140">
        <f t="shared" si="8"/>
        <v>0</v>
      </c>
      <c r="S47" s="140">
        <f t="shared" si="8"/>
        <v>0</v>
      </c>
      <c r="T47" s="140">
        <f t="shared" si="8"/>
        <v>0</v>
      </c>
      <c r="U47" s="140">
        <f t="shared" si="8"/>
        <v>0</v>
      </c>
      <c r="V47" s="140">
        <f t="shared" si="8"/>
        <v>0</v>
      </c>
      <c r="W47" s="140">
        <f t="shared" si="8"/>
        <v>0</v>
      </c>
      <c r="X47" s="140">
        <f t="shared" si="8"/>
        <v>0</v>
      </c>
      <c r="Y47" s="140">
        <f t="shared" si="8"/>
        <v>0</v>
      </c>
      <c r="Z47" s="140"/>
      <c r="AA47" s="230"/>
    </row>
    <row r="48" spans="1:27" x14ac:dyDescent="0.25">
      <c r="A48" s="141"/>
      <c r="B48" s="141"/>
      <c r="C48" s="141"/>
      <c r="D48" s="141"/>
      <c r="E48" s="141"/>
      <c r="F48" s="141"/>
      <c r="G48" s="141"/>
      <c r="H48" s="141"/>
      <c r="I48" s="141"/>
      <c r="J48" s="143"/>
      <c r="K48" s="141"/>
      <c r="L48" s="111" t="s">
        <v>151</v>
      </c>
      <c r="M48" s="144"/>
      <c r="N48" s="145">
        <f>SUM(N32:N47)</f>
        <v>0</v>
      </c>
      <c r="O48" s="145">
        <f t="shared" ref="O48:Z48" si="9">SUM(O32:O47)</f>
        <v>0</v>
      </c>
      <c r="P48" s="145">
        <f t="shared" si="9"/>
        <v>0</v>
      </c>
      <c r="Q48" s="145">
        <f t="shared" si="9"/>
        <v>0</v>
      </c>
      <c r="R48" s="145">
        <f t="shared" si="9"/>
        <v>0</v>
      </c>
      <c r="S48" s="145">
        <f t="shared" si="9"/>
        <v>0</v>
      </c>
      <c r="T48" s="145">
        <f t="shared" si="9"/>
        <v>0</v>
      </c>
      <c r="U48" s="145">
        <f t="shared" si="9"/>
        <v>0</v>
      </c>
      <c r="V48" s="145">
        <f t="shared" si="9"/>
        <v>0</v>
      </c>
      <c r="W48" s="145">
        <f t="shared" si="9"/>
        <v>0</v>
      </c>
      <c r="X48" s="145">
        <f t="shared" si="9"/>
        <v>0</v>
      </c>
      <c r="Y48" s="145">
        <f t="shared" si="9"/>
        <v>0</v>
      </c>
      <c r="Z48" s="145">
        <f t="shared" si="9"/>
        <v>0</v>
      </c>
      <c r="AA48" s="230"/>
    </row>
    <row r="49" spans="1:27" x14ac:dyDescent="0.25">
      <c r="A49" s="141"/>
      <c r="B49" s="141"/>
      <c r="C49" s="141"/>
      <c r="D49" s="141"/>
      <c r="E49" s="141"/>
      <c r="F49" s="141"/>
      <c r="G49" s="141"/>
      <c r="H49" s="141"/>
      <c r="I49" s="141"/>
      <c r="J49" s="143"/>
      <c r="K49" s="141"/>
      <c r="L49" s="111" t="s">
        <v>152</v>
      </c>
      <c r="M49" s="144"/>
      <c r="N49" s="145">
        <f>ROUND(B6/12,2)</f>
        <v>2916.67</v>
      </c>
      <c r="O49" s="145">
        <f>ROUND(B6/12,2)</f>
        <v>2916.67</v>
      </c>
      <c r="P49" s="145">
        <f>ROUND(B6/12,2)</f>
        <v>2916.67</v>
      </c>
      <c r="Q49" s="145">
        <f>ROUND(B6/12,2)</f>
        <v>2916.67</v>
      </c>
      <c r="R49" s="145">
        <f>ROUND(B6/12,2)</f>
        <v>2916.67</v>
      </c>
      <c r="S49" s="145">
        <f>ROUND(B6/12,2)</f>
        <v>2916.67</v>
      </c>
      <c r="T49" s="145">
        <f>ROUND(B6/12,2)</f>
        <v>2916.67</v>
      </c>
      <c r="U49" s="145">
        <f>ROUND(B6/12,2)</f>
        <v>2916.67</v>
      </c>
      <c r="V49" s="145">
        <f>ROUND(B6/12,2)</f>
        <v>2916.67</v>
      </c>
      <c r="W49" s="145">
        <f>ROUND(B6/12,2)</f>
        <v>2916.67</v>
      </c>
      <c r="X49" s="145">
        <f>ROUND(B6/12,2)</f>
        <v>2916.67</v>
      </c>
      <c r="Y49" s="145">
        <f>ROUND(B6/12,2)</f>
        <v>2916.67</v>
      </c>
      <c r="Z49" s="146">
        <f>SUM(N49:Y49)</f>
        <v>35000.039999999994</v>
      </c>
      <c r="AA49" s="230"/>
    </row>
    <row r="50" spans="1:27" x14ac:dyDescent="0.25">
      <c r="A50" s="141"/>
      <c r="B50" s="141"/>
      <c r="C50" s="141"/>
      <c r="D50" s="141"/>
      <c r="E50" s="141"/>
      <c r="F50" s="141"/>
      <c r="G50" s="141"/>
      <c r="H50" s="141"/>
      <c r="I50" s="141"/>
      <c r="J50" s="143"/>
      <c r="K50" s="141"/>
      <c r="L50" s="111" t="s">
        <v>150</v>
      </c>
      <c r="M50" s="144"/>
      <c r="N50" s="145">
        <f>N49-N48</f>
        <v>2916.67</v>
      </c>
      <c r="O50" s="145">
        <f t="shared" ref="O50:Z50" si="10">O49-O48</f>
        <v>2916.67</v>
      </c>
      <c r="P50" s="145">
        <f t="shared" si="10"/>
        <v>2916.67</v>
      </c>
      <c r="Q50" s="145">
        <f t="shared" si="10"/>
        <v>2916.67</v>
      </c>
      <c r="R50" s="145">
        <f t="shared" si="10"/>
        <v>2916.67</v>
      </c>
      <c r="S50" s="145">
        <f t="shared" si="10"/>
        <v>2916.67</v>
      </c>
      <c r="T50" s="145">
        <f t="shared" si="10"/>
        <v>2916.67</v>
      </c>
      <c r="U50" s="145">
        <f t="shared" si="10"/>
        <v>2916.67</v>
      </c>
      <c r="V50" s="145">
        <f t="shared" si="10"/>
        <v>2916.67</v>
      </c>
      <c r="W50" s="145">
        <f t="shared" si="10"/>
        <v>2916.67</v>
      </c>
      <c r="X50" s="145">
        <f t="shared" si="10"/>
        <v>2916.67</v>
      </c>
      <c r="Y50" s="145">
        <f t="shared" si="10"/>
        <v>2916.67</v>
      </c>
      <c r="Z50" s="146">
        <f t="shared" si="10"/>
        <v>35000.039999999994</v>
      </c>
      <c r="AA50" s="230"/>
    </row>
    <row r="51" spans="1:27" x14ac:dyDescent="0.25">
      <c r="J51" s="100"/>
      <c r="L51" s="79"/>
      <c r="M51" s="101"/>
      <c r="N51" s="102"/>
      <c r="O51" s="102"/>
      <c r="P51" s="102"/>
      <c r="Q51" s="102"/>
      <c r="R51" s="102"/>
      <c r="S51" s="102"/>
      <c r="T51" s="102"/>
      <c r="U51" s="102"/>
      <c r="V51" s="102"/>
      <c r="W51" s="102"/>
      <c r="X51" s="102"/>
      <c r="Y51" s="102"/>
      <c r="Z51" s="102"/>
    </row>
    <row r="52" spans="1:27" x14ac:dyDescent="0.25">
      <c r="J52" s="100"/>
      <c r="L52" s="79"/>
      <c r="M52" s="101"/>
      <c r="N52" s="102"/>
      <c r="O52" s="102"/>
      <c r="P52" s="102"/>
      <c r="Q52" s="102"/>
      <c r="R52" s="102"/>
      <c r="S52" s="102"/>
      <c r="T52" s="102"/>
      <c r="U52" s="102"/>
      <c r="V52" s="102"/>
      <c r="W52" s="102"/>
      <c r="X52" s="102"/>
      <c r="Y52" s="102"/>
      <c r="Z52" s="102"/>
    </row>
    <row r="53" spans="1:27" x14ac:dyDescent="0.25">
      <c r="J53" s="100"/>
      <c r="L53" s="147" t="s">
        <v>153</v>
      </c>
      <c r="M53" s="139"/>
      <c r="N53" s="140">
        <f>N28+N48</f>
        <v>0</v>
      </c>
      <c r="O53" s="140">
        <f t="shared" ref="O53:Y53" si="11">O28+O48</f>
        <v>0</v>
      </c>
      <c r="P53" s="140">
        <f t="shared" si="11"/>
        <v>0</v>
      </c>
      <c r="Q53" s="140">
        <f t="shared" si="11"/>
        <v>0</v>
      </c>
      <c r="R53" s="140">
        <f t="shared" si="11"/>
        <v>0</v>
      </c>
      <c r="S53" s="140">
        <f t="shared" si="11"/>
        <v>0</v>
      </c>
      <c r="T53" s="140">
        <f t="shared" si="11"/>
        <v>0</v>
      </c>
      <c r="U53" s="140">
        <f t="shared" si="11"/>
        <v>0</v>
      </c>
      <c r="V53" s="140">
        <f t="shared" si="11"/>
        <v>0</v>
      </c>
      <c r="W53" s="140">
        <f t="shared" si="11"/>
        <v>0</v>
      </c>
      <c r="X53" s="140">
        <f t="shared" si="11"/>
        <v>0</v>
      </c>
      <c r="Y53" s="140">
        <f t="shared" si="11"/>
        <v>0</v>
      </c>
      <c r="Z53" s="140">
        <f>SUM(N53:Y53)</f>
        <v>0</v>
      </c>
      <c r="AA53" s="230"/>
    </row>
    <row r="54" spans="1:27" x14ac:dyDescent="0.25">
      <c r="J54" s="100"/>
      <c r="L54" s="147" t="s">
        <v>150</v>
      </c>
      <c r="M54" s="139"/>
      <c r="N54" s="140">
        <f>B7-N53</f>
        <v>13908.333333333334</v>
      </c>
      <c r="O54" s="140">
        <f>B7-O53</f>
        <v>13908.333333333334</v>
      </c>
      <c r="P54" s="140">
        <f>B7-P53</f>
        <v>13908.333333333334</v>
      </c>
      <c r="Q54" s="140">
        <f>B7-Q53</f>
        <v>13908.333333333334</v>
      </c>
      <c r="R54" s="140">
        <f>B7-R53</f>
        <v>13908.333333333334</v>
      </c>
      <c r="S54" s="140">
        <f>B7-S53</f>
        <v>13908.333333333334</v>
      </c>
      <c r="T54" s="140">
        <f>B7-T53</f>
        <v>13908.333333333334</v>
      </c>
      <c r="U54" s="140">
        <f>B7-U53</f>
        <v>13908.333333333334</v>
      </c>
      <c r="V54" s="140">
        <f>B7-V53</f>
        <v>13908.333333333334</v>
      </c>
      <c r="W54" s="140">
        <f>B7-W53</f>
        <v>13908.333333333334</v>
      </c>
      <c r="X54" s="140">
        <f>B7-X53</f>
        <v>13908.333333333334</v>
      </c>
      <c r="Y54" s="140">
        <f>B7-Y53</f>
        <v>13908.333333333334</v>
      </c>
      <c r="Z54" s="140">
        <f>SUM(N54:Y54)</f>
        <v>166900</v>
      </c>
      <c r="AA54" s="230"/>
    </row>
    <row r="55" spans="1:27" x14ac:dyDescent="0.25">
      <c r="J55" s="100"/>
      <c r="L55" s="141"/>
      <c r="M55" s="139"/>
      <c r="N55" s="141"/>
      <c r="O55" s="141"/>
      <c r="P55" s="141"/>
      <c r="Q55" s="141"/>
      <c r="R55" s="141"/>
      <c r="S55" s="141"/>
      <c r="T55" s="141"/>
      <c r="U55" s="141"/>
      <c r="V55" s="141"/>
      <c r="W55" s="141"/>
      <c r="X55" s="141"/>
      <c r="Y55" s="141"/>
      <c r="Z55" s="141"/>
      <c r="AA55" s="230"/>
    </row>
    <row r="56" spans="1:27" x14ac:dyDescent="0.25">
      <c r="J56" s="100"/>
      <c r="L56" s="111" t="s">
        <v>154</v>
      </c>
      <c r="M56" s="139"/>
      <c r="N56" s="148">
        <f t="array" ref="N56">SUM(IF((N14:N26&gt;0),$J$14:$J$26,0))+SUM(IF((N32:N47&gt;0),$J$32:$J$47,0))</f>
        <v>0</v>
      </c>
      <c r="O56" s="148">
        <f t="array" ref="O56">SUM(IF((O14:O26&gt;0),$J$14:$J$26,0))+SUM(IF((O32:O47&gt;0),$J$32:$J$47,0))</f>
        <v>0</v>
      </c>
      <c r="P56" s="148">
        <f t="array" ref="P56">SUM(IF((P14:P26&gt;0),$J$14:$J$26,0))+SUM(IF((P32:P47&gt;0),$J$32:$J$47,0))</f>
        <v>0</v>
      </c>
      <c r="Q56" s="148">
        <f t="array" ref="Q56">SUM(IF((Q14:Q26&gt;0),$J$14:$J$26,0))+SUM(IF((Q32:Q47&gt;0),$J$32:$J$47,0))</f>
        <v>0</v>
      </c>
      <c r="R56" s="148">
        <f t="array" ref="R56">SUM(IF((R14:R26&gt;0),$J$14:$J$26,0))+SUM(IF((R32:R47&gt;0),$J$32:$J$47,0))</f>
        <v>0</v>
      </c>
      <c r="S56" s="148">
        <f t="array" ref="S56">SUM(IF((S14:S26&gt;0),$J$14:$J$26,0))+SUM(IF((S32:S47&gt;0),$J$32:$J$47,0))</f>
        <v>0</v>
      </c>
      <c r="T56" s="148">
        <f t="array" ref="T56">SUM(IF((T14:T26&gt;0),$J$14:$J$26,0))+SUM(IF((T32:T47&gt;0),$J$32:$J$47,0))</f>
        <v>0</v>
      </c>
      <c r="U56" s="148">
        <f t="array" ref="U56">SUM(IF((U14:U26&gt;0),$J$14:$J$26,0))+SUM(IF((U32:U47&gt;0),$J$32:$J$47,0))</f>
        <v>0</v>
      </c>
      <c r="V56" s="148">
        <f t="array" ref="V56">SUM(IF((V14:V26&gt;0),$J$14:$J$26,0))+SUM(IF((V32:V47&gt;0),$J$32:$J$47,0))</f>
        <v>0</v>
      </c>
      <c r="W56" s="148">
        <f t="array" ref="W56">SUM(IF((W14:W26&gt;0),$J$14:$J$26,0))+SUM(IF((W32:W47&gt;0),$J$32:$J$47,0))</f>
        <v>0</v>
      </c>
      <c r="X56" s="148">
        <f t="array" ref="X56">SUM(IF((X14:X26&gt;0),$J$14:$J$26,0))+SUM(IF((X32:X47&gt;0),$J$32:$J$47,0))</f>
        <v>0</v>
      </c>
      <c r="Y56" s="148">
        <f t="array" ref="Y56">SUM(IF((Y14:Y26&gt;0),$J$14:$J$26,0))+SUM(IF((Y32:Y47&gt;0),$J$32:$J$47,0))</f>
        <v>0</v>
      </c>
      <c r="Z56" s="141"/>
      <c r="AA56" s="230"/>
    </row>
    <row r="57" spans="1:27" x14ac:dyDescent="0.25">
      <c r="J57" s="100"/>
      <c r="N57" s="83"/>
      <c r="O57" s="83"/>
      <c r="P57" s="83"/>
      <c r="Q57" s="83"/>
      <c r="R57" s="83"/>
      <c r="S57" s="83"/>
      <c r="T57" s="83"/>
      <c r="U57" s="83"/>
      <c r="V57" s="83"/>
      <c r="W57" s="83"/>
      <c r="X57" s="83"/>
      <c r="Y57" s="83"/>
      <c r="Z57" s="83"/>
    </row>
    <row r="58" spans="1:27" x14ac:dyDescent="0.25">
      <c r="A58" s="50" t="s">
        <v>47</v>
      </c>
      <c r="B58" s="129"/>
      <c r="C58" s="129"/>
      <c r="D58" s="41"/>
    </row>
    <row r="59" spans="1:27" x14ac:dyDescent="0.25">
      <c r="A59" s="42"/>
      <c r="B59" s="43"/>
      <c r="C59" s="43"/>
      <c r="D59" s="44"/>
    </row>
    <row r="60" spans="1:27" x14ac:dyDescent="0.25">
      <c r="A60" s="49" t="s">
        <v>48</v>
      </c>
      <c r="B60" s="130"/>
      <c r="C60" s="130"/>
      <c r="D60" s="44"/>
    </row>
    <row r="61" spans="1:27" x14ac:dyDescent="0.25">
      <c r="A61" s="42"/>
      <c r="B61" s="43"/>
      <c r="C61" s="43"/>
      <c r="D61" s="44"/>
    </row>
    <row r="62" spans="1:27" x14ac:dyDescent="0.25">
      <c r="A62" s="42" t="s">
        <v>49</v>
      </c>
      <c r="B62" s="244"/>
      <c r="C62" s="43"/>
      <c r="D62" s="44"/>
    </row>
    <row r="63" spans="1:27" x14ac:dyDescent="0.25">
      <c r="A63" s="42" t="s">
        <v>50</v>
      </c>
      <c r="B63" s="43"/>
      <c r="C63" s="43"/>
      <c r="D63" s="44"/>
    </row>
    <row r="64" spans="1:27" x14ac:dyDescent="0.25">
      <c r="A64" s="42" t="s">
        <v>51</v>
      </c>
      <c r="B64" s="244"/>
      <c r="C64" s="43"/>
      <c r="D64" s="44"/>
    </row>
    <row r="65" spans="1:4" x14ac:dyDescent="0.25">
      <c r="A65" s="42" t="s">
        <v>52</v>
      </c>
      <c r="B65" s="43" t="str">
        <f>IFERROR(ROUND(B62/B63/B64,4),"")</f>
        <v/>
      </c>
      <c r="C65" s="43"/>
      <c r="D65" s="44"/>
    </row>
    <row r="66" spans="1:4" x14ac:dyDescent="0.25">
      <c r="A66" s="42"/>
      <c r="B66" s="43"/>
      <c r="C66" s="43"/>
      <c r="D66" s="44"/>
    </row>
    <row r="67" spans="1:4" x14ac:dyDescent="0.25">
      <c r="A67" s="42" t="s">
        <v>53</v>
      </c>
      <c r="B67" s="45" t="str">
        <f>IFERROR(ROUND(B65*B64,2)*B63,"")</f>
        <v/>
      </c>
      <c r="C67" s="43"/>
      <c r="D67" s="44"/>
    </row>
    <row r="68" spans="1:4" x14ac:dyDescent="0.25">
      <c r="A68" s="46"/>
      <c r="B68" s="47"/>
      <c r="C68" s="47"/>
      <c r="D68" s="48"/>
    </row>
  </sheetData>
  <sheetProtection sheet="1" selectLockedCells="1"/>
  <mergeCells count="3">
    <mergeCell ref="E27:X27"/>
    <mergeCell ref="A12:AA12"/>
    <mergeCell ref="A31:XFD31"/>
  </mergeCells>
  <pageMargins left="0.7" right="0.7" top="0.75" bottom="0.75" header="0.3" footer="0.3"/>
  <pageSetup scale="22" fitToHeight="0" orientation="portrait" r:id="rId1"/>
  <drawing r:id="rId2"/>
  <extLst>
    <ext xmlns:x14="http://schemas.microsoft.com/office/spreadsheetml/2009/9/main" uri="{CCE6A557-97BC-4b89-ADB6-D9C93CAAB3DF}">
      <x14:dataValidations xmlns:xm="http://schemas.microsoft.com/office/excel/2006/main" xWindow="361" yWindow="455" count="4">
        <x14:dataValidation type="list" errorStyle="warning" allowBlank="1" showErrorMessage="1" error="Please check fund type!" prompt="Please enter fund type" xr:uid="{00000000-0002-0000-0300-000000000000}">
          <x14:formula1>
            <xm:f>DropDown!$E$3:$E$14</xm:f>
          </x14:formula1>
          <xm:sqref>E14:E26 F22:I26</xm:sqref>
        </x14:dataValidation>
        <x14:dataValidation type="list" allowBlank="1" showInputMessage="1" showErrorMessage="1" xr:uid="{00000000-0002-0000-0300-000001000000}">
          <x14:formula1>
            <xm:f>DropDown!$G$3:$G$5</xm:f>
          </x14:formula1>
          <xm:sqref>A14:A27 B22:C27</xm:sqref>
        </x14:dataValidation>
        <x14:dataValidation type="list" allowBlank="1" showInputMessage="1" showErrorMessage="1" xr:uid="{00000000-0002-0000-0300-000002000000}">
          <x14:formula1>
            <xm:f>DropDown!$H$3:$H$5</xm:f>
          </x14:formula1>
          <xm:sqref>A32:A46 B39:C46</xm:sqref>
        </x14:dataValidation>
        <x14:dataValidation type="list" errorStyle="warning" allowBlank="1" showInputMessage="1" showErrorMessage="1" error="Please check fund type!" promptTitle="Negotiated Salary Fund Type" prompt="Please enter fund type.  General funds and student tuition funds are not allowed." xr:uid="{00000000-0002-0000-0300-000003000000}">
          <x14:formula1>
            <xm:f>DropDown!$F$3:$F$12</xm:f>
          </x14:formula1>
          <xm:sqref>E32:E46 F39:I46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40"/>
  <sheetViews>
    <sheetView showGridLines="0" topLeftCell="A15" zoomScaleNormal="100" workbookViewId="0">
      <selection activeCell="F42" sqref="F42"/>
    </sheetView>
  </sheetViews>
  <sheetFormatPr defaultColWidth="8.85546875" defaultRowHeight="15" x14ac:dyDescent="0.25"/>
  <cols>
    <col min="1" max="1" width="56.85546875" customWidth="1"/>
    <col min="2" max="2" width="11.140625" bestFit="1" customWidth="1"/>
    <col min="5" max="5" width="12.5703125" bestFit="1" customWidth="1"/>
    <col min="6" max="6" width="11.85546875" customWidth="1"/>
    <col min="7" max="7" width="12" customWidth="1"/>
    <col min="8" max="8" width="12.28515625" customWidth="1"/>
    <col min="9" max="9" width="7.42578125" customWidth="1"/>
    <col min="15" max="15" width="12.140625" customWidth="1"/>
  </cols>
  <sheetData>
    <row r="1" spans="1:9" ht="18.75" x14ac:dyDescent="0.3">
      <c r="A1" s="8" t="s">
        <v>155</v>
      </c>
    </row>
    <row r="5" spans="1:9" x14ac:dyDescent="0.25">
      <c r="A5" s="50" t="s">
        <v>47</v>
      </c>
      <c r="B5" s="41"/>
      <c r="D5" s="91" t="s">
        <v>24</v>
      </c>
      <c r="E5" s="84"/>
      <c r="F5" s="84"/>
      <c r="G5" s="84"/>
      <c r="H5" s="84"/>
      <c r="I5" s="85"/>
    </row>
    <row r="6" spans="1:9" x14ac:dyDescent="0.25">
      <c r="A6" s="42"/>
      <c r="B6" s="44"/>
      <c r="D6" s="86"/>
      <c r="E6" s="87"/>
      <c r="F6" s="87"/>
      <c r="G6" s="87"/>
      <c r="H6" s="87"/>
      <c r="I6" s="88"/>
    </row>
    <row r="7" spans="1:9" x14ac:dyDescent="0.25">
      <c r="A7" s="49" t="s">
        <v>48</v>
      </c>
      <c r="B7" s="44"/>
      <c r="D7" s="86"/>
      <c r="E7" s="89" t="s">
        <v>244</v>
      </c>
      <c r="F7" s="87"/>
      <c r="G7" s="87"/>
      <c r="H7" s="257"/>
      <c r="I7" s="88"/>
    </row>
    <row r="8" spans="1:9" x14ac:dyDescent="0.25">
      <c r="A8" s="42"/>
      <c r="B8" s="44"/>
      <c r="D8" s="86"/>
      <c r="E8" s="89" t="s">
        <v>245</v>
      </c>
      <c r="F8" s="87"/>
      <c r="G8" s="87"/>
      <c r="H8" s="257"/>
      <c r="I8" s="88"/>
    </row>
    <row r="9" spans="1:9" x14ac:dyDescent="0.25">
      <c r="A9" s="42" t="s">
        <v>49</v>
      </c>
      <c r="B9" s="254"/>
      <c r="D9" s="86"/>
      <c r="E9" s="89" t="s">
        <v>26</v>
      </c>
      <c r="F9" s="87"/>
      <c r="G9" s="87"/>
      <c r="H9" s="245">
        <f>H7-H8</f>
        <v>0</v>
      </c>
      <c r="I9" s="88"/>
    </row>
    <row r="10" spans="1:9" x14ac:dyDescent="0.25">
      <c r="A10" s="42" t="s">
        <v>50</v>
      </c>
      <c r="B10" s="255"/>
      <c r="D10" s="86"/>
      <c r="E10" s="89" t="s">
        <v>158</v>
      </c>
      <c r="F10" s="87"/>
      <c r="G10" s="87"/>
      <c r="H10" s="258"/>
      <c r="I10" s="88"/>
    </row>
    <row r="11" spans="1:9" x14ac:dyDescent="0.25">
      <c r="A11" s="42" t="s">
        <v>51</v>
      </c>
      <c r="B11" s="254"/>
      <c r="D11" s="86"/>
      <c r="E11" s="89" t="s">
        <v>29</v>
      </c>
      <c r="F11" s="87"/>
      <c r="G11" s="87"/>
      <c r="H11" s="246">
        <f>H9-H10</f>
        <v>0</v>
      </c>
      <c r="I11" s="88"/>
    </row>
    <row r="12" spans="1:9" x14ac:dyDescent="0.25">
      <c r="A12" s="42" t="s">
        <v>52</v>
      </c>
      <c r="B12" s="247" t="e">
        <f>ROUND(B9/B10/B11,4)</f>
        <v>#DIV/0!</v>
      </c>
      <c r="D12" s="86"/>
      <c r="E12" s="87"/>
      <c r="F12" s="87"/>
      <c r="G12" s="87"/>
      <c r="H12" s="245"/>
      <c r="I12" s="88"/>
    </row>
    <row r="13" spans="1:9" x14ac:dyDescent="0.25">
      <c r="A13" s="42"/>
      <c r="B13" s="44"/>
    </row>
    <row r="14" spans="1:9" x14ac:dyDescent="0.25">
      <c r="A14" s="42" t="s">
        <v>53</v>
      </c>
      <c r="B14" s="248" t="e">
        <f>ROUND(B12*B11,2)*B10</f>
        <v>#DIV/0!</v>
      </c>
    </row>
    <row r="15" spans="1:9" x14ac:dyDescent="0.25">
      <c r="A15" s="46"/>
      <c r="B15" s="48"/>
    </row>
    <row r="18" spans="1:9" x14ac:dyDescent="0.25">
      <c r="A18" s="52" t="s">
        <v>60</v>
      </c>
      <c r="B18" s="54"/>
      <c r="D18" s="95"/>
      <c r="E18" s="96" t="s">
        <v>67</v>
      </c>
      <c r="F18" s="53"/>
      <c r="G18" s="53"/>
      <c r="H18" s="53"/>
      <c r="I18" s="54"/>
    </row>
    <row r="19" spans="1:9" x14ac:dyDescent="0.25">
      <c r="A19" s="55"/>
      <c r="B19" s="57"/>
      <c r="D19" s="55"/>
      <c r="E19" s="56"/>
      <c r="F19" s="56"/>
      <c r="G19" s="56"/>
      <c r="H19" s="56"/>
      <c r="I19" s="57"/>
    </row>
    <row r="20" spans="1:9" x14ac:dyDescent="0.25">
      <c r="A20" s="72" t="s">
        <v>61</v>
      </c>
      <c r="B20" s="57"/>
      <c r="D20" s="55"/>
      <c r="E20" s="249" t="s">
        <v>70</v>
      </c>
      <c r="F20" s="249" t="s">
        <v>71</v>
      </c>
      <c r="G20" s="249" t="s">
        <v>72</v>
      </c>
      <c r="H20" s="56"/>
      <c r="I20" s="57"/>
    </row>
    <row r="21" spans="1:9" x14ac:dyDescent="0.25">
      <c r="A21" s="55"/>
      <c r="B21" s="57"/>
      <c r="D21" s="55"/>
      <c r="E21" s="250">
        <v>187000</v>
      </c>
      <c r="F21" s="251">
        <f t="shared" ref="F21:F29" si="0">ROUND(E21/12*0.75,2)</f>
        <v>11687.5</v>
      </c>
      <c r="G21" s="251">
        <f t="shared" ref="G21:G29" si="1">ROUND(E21/12,2)</f>
        <v>15583.33</v>
      </c>
      <c r="H21" s="56"/>
      <c r="I21" s="57"/>
    </row>
    <row r="22" spans="1:9" x14ac:dyDescent="0.25">
      <c r="A22" s="55" t="s">
        <v>62</v>
      </c>
      <c r="B22" s="256"/>
      <c r="D22" s="55"/>
      <c r="E22" s="250">
        <v>189600</v>
      </c>
      <c r="F22" s="251">
        <f t="shared" si="0"/>
        <v>11850</v>
      </c>
      <c r="G22" s="251">
        <f t="shared" si="1"/>
        <v>15800</v>
      </c>
      <c r="H22" s="56"/>
      <c r="I22" s="57"/>
    </row>
    <row r="23" spans="1:9" x14ac:dyDescent="0.25">
      <c r="A23" s="55"/>
      <c r="B23" s="57"/>
      <c r="D23" s="55"/>
      <c r="E23" s="250">
        <v>192300</v>
      </c>
      <c r="F23" s="251">
        <f t="shared" si="0"/>
        <v>12018.75</v>
      </c>
      <c r="G23" s="251">
        <f t="shared" si="1"/>
        <v>16025</v>
      </c>
      <c r="H23" s="56"/>
      <c r="I23" s="57"/>
    </row>
    <row r="24" spans="1:9" x14ac:dyDescent="0.25">
      <c r="A24" s="55" t="s">
        <v>63</v>
      </c>
      <c r="B24" s="59">
        <f>B22/12*3/4</f>
        <v>0</v>
      </c>
      <c r="D24" s="55"/>
      <c r="E24" s="250">
        <v>197300</v>
      </c>
      <c r="F24" s="251">
        <f t="shared" si="0"/>
        <v>12331.25</v>
      </c>
      <c r="G24" s="251">
        <f t="shared" si="1"/>
        <v>16441.669999999998</v>
      </c>
      <c r="H24" s="56"/>
      <c r="I24" s="57"/>
    </row>
    <row r="25" spans="1:9" x14ac:dyDescent="0.25">
      <c r="A25" s="55" t="s">
        <v>64</v>
      </c>
      <c r="B25" s="59">
        <f>B22/12</f>
        <v>0</v>
      </c>
      <c r="D25" s="55"/>
      <c r="E25" s="250">
        <v>199300</v>
      </c>
      <c r="F25" s="251">
        <f t="shared" si="0"/>
        <v>12456.25</v>
      </c>
      <c r="G25" s="251">
        <f t="shared" si="1"/>
        <v>16608.330000000002</v>
      </c>
      <c r="H25" s="56"/>
      <c r="I25" s="57"/>
    </row>
    <row r="26" spans="1:9" x14ac:dyDescent="0.25">
      <c r="A26" s="60"/>
      <c r="B26" s="62"/>
      <c r="D26" s="55"/>
      <c r="E26" s="250">
        <v>203700</v>
      </c>
      <c r="F26" s="251">
        <f t="shared" si="0"/>
        <v>12731.25</v>
      </c>
      <c r="G26" s="251">
        <f t="shared" si="1"/>
        <v>16975</v>
      </c>
      <c r="H26" s="56"/>
      <c r="I26" s="57"/>
    </row>
    <row r="27" spans="1:9" x14ac:dyDescent="0.25">
      <c r="D27" s="55"/>
      <c r="E27" s="263">
        <v>212100</v>
      </c>
      <c r="F27" s="251">
        <f t="shared" si="0"/>
        <v>13256.25</v>
      </c>
      <c r="G27" s="251">
        <f t="shared" si="1"/>
        <v>17675</v>
      </c>
      <c r="H27" s="56"/>
      <c r="I27" s="57"/>
    </row>
    <row r="28" spans="1:9" x14ac:dyDescent="0.25">
      <c r="D28" s="55"/>
      <c r="E28" s="266">
        <v>221900</v>
      </c>
      <c r="F28" s="251">
        <f t="shared" si="0"/>
        <v>13868.75</v>
      </c>
      <c r="G28" s="251">
        <f t="shared" si="1"/>
        <v>18491.669999999998</v>
      </c>
      <c r="H28" s="56"/>
      <c r="I28" s="57"/>
    </row>
    <row r="29" spans="1:9" x14ac:dyDescent="0.25">
      <c r="A29" s="63" t="s">
        <v>75</v>
      </c>
      <c r="B29" s="65"/>
      <c r="D29" s="60"/>
      <c r="E29" s="267">
        <v>225700</v>
      </c>
      <c r="F29" s="252">
        <f t="shared" si="0"/>
        <v>14106.25</v>
      </c>
      <c r="G29" s="251">
        <f t="shared" si="1"/>
        <v>18808.330000000002</v>
      </c>
      <c r="H29" s="56"/>
      <c r="I29" s="57"/>
    </row>
    <row r="30" spans="1:9" x14ac:dyDescent="0.25">
      <c r="A30" s="66"/>
      <c r="B30" s="68"/>
      <c r="D30" s="60"/>
      <c r="E30" s="267">
        <v>228000</v>
      </c>
      <c r="F30" s="252">
        <f t="shared" ref="F21:F30" si="2">ROUND(E30/12*0.75,2)</f>
        <v>14250</v>
      </c>
      <c r="G30" s="251">
        <f t="shared" ref="G21:G30" si="3">ROUND(E30/12,2)</f>
        <v>19000</v>
      </c>
      <c r="H30" s="61"/>
      <c r="I30" s="62"/>
    </row>
    <row r="31" spans="1:9" x14ac:dyDescent="0.25">
      <c r="A31" s="73" t="s">
        <v>76</v>
      </c>
      <c r="B31" s="68"/>
    </row>
    <row r="32" spans="1:9" x14ac:dyDescent="0.25">
      <c r="A32" s="66"/>
      <c r="B32" s="68"/>
    </row>
    <row r="33" spans="1:2" x14ac:dyDescent="0.25">
      <c r="A33" s="66" t="s">
        <v>77</v>
      </c>
      <c r="B33" s="259"/>
    </row>
    <row r="34" spans="1:2" x14ac:dyDescent="0.25">
      <c r="A34" s="66" t="s">
        <v>78</v>
      </c>
      <c r="B34" s="259"/>
    </row>
    <row r="35" spans="1:2" x14ac:dyDescent="0.25">
      <c r="A35" s="66" t="s">
        <v>79</v>
      </c>
      <c r="B35" s="260"/>
    </row>
    <row r="36" spans="1:2" x14ac:dyDescent="0.25">
      <c r="A36" s="66" t="s">
        <v>80</v>
      </c>
      <c r="B36" s="253">
        <f>ROUND((B33-B34)*B35,2)</f>
        <v>0</v>
      </c>
    </row>
    <row r="37" spans="1:2" x14ac:dyDescent="0.25">
      <c r="A37" s="66"/>
      <c r="B37" s="68"/>
    </row>
    <row r="38" spans="1:2" x14ac:dyDescent="0.25">
      <c r="A38" s="66" t="s">
        <v>81</v>
      </c>
      <c r="B38" s="253">
        <f>ROUND(B34*B35,2)+B36</f>
        <v>0</v>
      </c>
    </row>
    <row r="39" spans="1:2" x14ac:dyDescent="0.25">
      <c r="A39" s="66" t="s">
        <v>82</v>
      </c>
      <c r="B39" s="253">
        <f>ROUND(B35*B33,2)</f>
        <v>0</v>
      </c>
    </row>
    <row r="40" spans="1:2" x14ac:dyDescent="0.25">
      <c r="A40" s="69"/>
      <c r="B40" s="71"/>
    </row>
  </sheetData>
  <sheetProtection selectLockedCells="1"/>
  <pageMargins left="0.7" right="0.7" top="0.75" bottom="0.75" header="0.3" footer="0.3"/>
  <pageSetup scale="8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3"/>
  <sheetViews>
    <sheetView showGridLines="0" zoomScaleNormal="100" workbookViewId="0">
      <selection activeCell="F8" sqref="F8"/>
    </sheetView>
  </sheetViews>
  <sheetFormatPr defaultColWidth="12.5703125" defaultRowHeight="15.75" x14ac:dyDescent="0.25"/>
  <cols>
    <col min="1" max="1" width="11.28515625" style="194" customWidth="1"/>
    <col min="2" max="2" width="13.5703125" style="194" customWidth="1"/>
    <col min="3" max="3" width="27" style="194" customWidth="1"/>
    <col min="4" max="4" width="25.42578125" style="194" customWidth="1"/>
    <col min="5" max="5" width="21" style="194" customWidth="1"/>
    <col min="6" max="6" width="9.140625" style="194" customWidth="1"/>
    <col min="7" max="16384" width="12.5703125" style="194"/>
  </cols>
  <sheetData>
    <row r="1" spans="1:6" ht="18.75" x14ac:dyDescent="0.3">
      <c r="A1" s="193" t="s">
        <v>256</v>
      </c>
    </row>
    <row r="2" spans="1:6" ht="18.75" x14ac:dyDescent="0.3">
      <c r="A2" s="195" t="s">
        <v>159</v>
      </c>
    </row>
    <row r="3" spans="1:6" x14ac:dyDescent="0.25">
      <c r="A3" s="296"/>
      <c r="B3" s="296"/>
      <c r="C3" s="296"/>
      <c r="D3" s="296"/>
      <c r="E3" s="296"/>
      <c r="F3" s="296"/>
    </row>
    <row r="4" spans="1:6" ht="15" customHeight="1" x14ac:dyDescent="0.3">
      <c r="A4" s="193"/>
      <c r="E4" s="273" t="s">
        <v>222</v>
      </c>
      <c r="F4" s="273"/>
    </row>
    <row r="5" spans="1:6" x14ac:dyDescent="0.25">
      <c r="E5" s="301"/>
      <c r="F5" s="301"/>
    </row>
    <row r="6" spans="1:6" ht="15" customHeight="1" x14ac:dyDescent="0.25">
      <c r="B6" s="196" t="s">
        <v>160</v>
      </c>
      <c r="C6" s="219" t="str">
        <f>Request!F7</f>
        <v>Smith, John</v>
      </c>
      <c r="E6" s="297" t="s">
        <v>161</v>
      </c>
      <c r="F6" s="298"/>
    </row>
    <row r="7" spans="1:6" x14ac:dyDescent="0.25">
      <c r="B7" s="196"/>
      <c r="E7" s="197" t="s">
        <v>253</v>
      </c>
      <c r="F7" s="31">
        <f>Worksheet!U16</f>
        <v>0.36299999999999999</v>
      </c>
    </row>
    <row r="8" spans="1:6" x14ac:dyDescent="0.25">
      <c r="B8" s="196" t="s">
        <v>162</v>
      </c>
      <c r="C8" s="198">
        <f>Request!L10</f>
        <v>131900</v>
      </c>
      <c r="E8" s="199" t="s">
        <v>31</v>
      </c>
      <c r="F8" s="33">
        <f>Worksheet!U17</f>
        <v>9.0999999999999998E-2</v>
      </c>
    </row>
    <row r="9" spans="1:6" x14ac:dyDescent="0.25">
      <c r="B9" s="196"/>
      <c r="C9" s="200"/>
      <c r="E9" s="201"/>
    </row>
    <row r="10" spans="1:6" x14ac:dyDescent="0.25">
      <c r="A10" s="299" t="s">
        <v>243</v>
      </c>
      <c r="B10" s="299"/>
      <c r="C10" s="200"/>
      <c r="E10" s="201"/>
    </row>
    <row r="11" spans="1:6" ht="15" customHeight="1" x14ac:dyDescent="0.25">
      <c r="A11" s="299"/>
      <c r="B11" s="299"/>
      <c r="C11" s="202">
        <f>Request!L10/3</f>
        <v>43966.666666666664</v>
      </c>
      <c r="D11" s="235"/>
      <c r="E11" s="201"/>
    </row>
    <row r="13" spans="1:6" ht="15" customHeight="1" x14ac:dyDescent="0.25">
      <c r="A13" s="299" t="s">
        <v>163</v>
      </c>
      <c r="B13" s="299"/>
    </row>
    <row r="14" spans="1:6" x14ac:dyDescent="0.25">
      <c r="A14" s="299"/>
      <c r="B14" s="299"/>
      <c r="C14" s="231">
        <v>25000</v>
      </c>
    </row>
    <row r="16" spans="1:6" x14ac:dyDescent="0.25">
      <c r="A16" s="300" t="s">
        <v>164</v>
      </c>
      <c r="B16" s="300"/>
      <c r="C16" s="203">
        <f>C14/4*3</f>
        <v>18750</v>
      </c>
    </row>
    <row r="17" spans="1:4" x14ac:dyDescent="0.25">
      <c r="A17" s="300" t="s">
        <v>165</v>
      </c>
      <c r="B17" s="300"/>
      <c r="C17" s="203">
        <f>C14/4</f>
        <v>6250</v>
      </c>
    </row>
    <row r="19" spans="1:4" x14ac:dyDescent="0.25">
      <c r="A19" s="236"/>
      <c r="B19" s="237" t="s">
        <v>166</v>
      </c>
      <c r="C19" s="238">
        <f>C14/C11</f>
        <v>0.56861258529188785</v>
      </c>
    </row>
    <row r="22" spans="1:4" ht="27.95" customHeight="1" x14ac:dyDescent="0.25">
      <c r="B22" s="204" t="s">
        <v>167</v>
      </c>
      <c r="C22" s="205"/>
      <c r="D22" s="206"/>
    </row>
    <row r="23" spans="1:4" x14ac:dyDescent="0.25">
      <c r="B23" s="207">
        <f>C16</f>
        <v>18750</v>
      </c>
      <c r="C23" s="208" t="s">
        <v>168</v>
      </c>
      <c r="D23" s="209"/>
    </row>
    <row r="24" spans="1:4" x14ac:dyDescent="0.25">
      <c r="B24" s="207">
        <f>B23/3</f>
        <v>6250</v>
      </c>
      <c r="C24" s="208" t="s">
        <v>169</v>
      </c>
      <c r="D24" s="209"/>
    </row>
    <row r="25" spans="1:4" x14ac:dyDescent="0.25">
      <c r="B25" s="207">
        <f>B23*0.1</f>
        <v>1875</v>
      </c>
      <c r="C25" s="208" t="s">
        <v>170</v>
      </c>
      <c r="D25" s="209"/>
    </row>
    <row r="26" spans="1:4" x14ac:dyDescent="0.25">
      <c r="B26" s="207">
        <f>B23*F7</f>
        <v>6806.25</v>
      </c>
      <c r="C26" s="208" t="s">
        <v>171</v>
      </c>
      <c r="D26" s="209"/>
    </row>
    <row r="27" spans="1:4" x14ac:dyDescent="0.25">
      <c r="B27" s="207">
        <f>B24*F8</f>
        <v>568.75</v>
      </c>
      <c r="C27" s="208" t="s">
        <v>172</v>
      </c>
      <c r="D27" s="209"/>
    </row>
    <row r="28" spans="1:4" x14ac:dyDescent="0.25">
      <c r="B28" s="207">
        <f>B25*F7</f>
        <v>680.625</v>
      </c>
      <c r="C28" s="208" t="s">
        <v>173</v>
      </c>
      <c r="D28" s="209"/>
    </row>
    <row r="29" spans="1:4" x14ac:dyDescent="0.25">
      <c r="B29" s="210">
        <f>SUM(B23:B28)</f>
        <v>34930.625</v>
      </c>
      <c r="C29" s="211" t="s">
        <v>174</v>
      </c>
      <c r="D29" s="212"/>
    </row>
    <row r="30" spans="1:4" x14ac:dyDescent="0.25">
      <c r="B30" s="213">
        <f>B29*0.55</f>
        <v>19211.84375</v>
      </c>
      <c r="C30" s="208" t="s">
        <v>175</v>
      </c>
      <c r="D30" s="209"/>
    </row>
    <row r="31" spans="1:4" x14ac:dyDescent="0.25">
      <c r="B31" s="214">
        <f>SUM(B29:B30)</f>
        <v>54142.46875</v>
      </c>
      <c r="C31" s="211" t="s">
        <v>176</v>
      </c>
      <c r="D31" s="212"/>
    </row>
    <row r="32" spans="1:4" x14ac:dyDescent="0.25">
      <c r="B32" s="215"/>
      <c r="C32" s="208"/>
      <c r="D32" s="209"/>
    </row>
    <row r="33" spans="2:4" x14ac:dyDescent="0.25">
      <c r="B33" s="216">
        <f>SUM(B23:B24)</f>
        <v>25000</v>
      </c>
      <c r="C33" s="217" t="s">
        <v>177</v>
      </c>
      <c r="D33" s="218"/>
    </row>
  </sheetData>
  <sheetProtection selectLockedCells="1"/>
  <mergeCells count="7">
    <mergeCell ref="A3:F3"/>
    <mergeCell ref="E6:F6"/>
    <mergeCell ref="A13:B14"/>
    <mergeCell ref="A16:B16"/>
    <mergeCell ref="A17:B17"/>
    <mergeCell ref="A10:B11"/>
    <mergeCell ref="E4:F5"/>
  </mergeCells>
  <dataValidations count="2">
    <dataValidation type="decimal" allowBlank="1" showInputMessage="1" showErrorMessage="1" promptTitle="Benefits Rates" prompt="Enter the projected benefits rate for this salary component." sqref="F9:F11 F7" xr:uid="{00000000-0002-0000-0500-000000000000}">
      <formula1>0</formula1>
      <formula2>1</formula2>
    </dataValidation>
    <dataValidation type="decimal" allowBlank="1" showInputMessage="1" showErrorMessage="1" promptTitle="Benefits Rates" prompt="Benefit Rate from Composite Benefit Rate (CBRs) website:_x000a_https://blink.ucsd.edu/finance/costing-analysis/cbrs/index.html" sqref="F8" xr:uid="{00000000-0002-0000-0500-000001000000}">
      <formula1>0</formula1>
      <formula2>1</formula2>
    </dataValidation>
  </dataValidations>
  <pageMargins left="0.75" right="0.75" top="1" bottom="1" header="0.5" footer="0.5"/>
  <pageSetup scale="82"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9c4a7ff-ac0c-43ae-af92-5dd144f40fa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C39BCF8C10C0F4DBE17E99B61C93E7A" ma:contentTypeVersion="18" ma:contentTypeDescription="Create a new document." ma:contentTypeScope="" ma:versionID="75d9fdd740f04abd73817071e1462b26">
  <xsd:schema xmlns:xsd="http://www.w3.org/2001/XMLSchema" xmlns:xs="http://www.w3.org/2001/XMLSchema" xmlns:p="http://schemas.microsoft.com/office/2006/metadata/properties" xmlns:ns3="39c4a7ff-ac0c-43ae-af92-5dd144f40fa2" xmlns:ns4="b007c6b8-87a0-4d8b-8ecf-e3ec3909a945" targetNamespace="http://schemas.microsoft.com/office/2006/metadata/properties" ma:root="true" ma:fieldsID="bbda2c3bb0a173cfbba6e925f9547650" ns3:_="" ns4:_="">
    <xsd:import namespace="39c4a7ff-ac0c-43ae-af92-5dd144f40fa2"/>
    <xsd:import namespace="b007c6b8-87a0-4d8b-8ecf-e3ec3909a945"/>
    <xsd:element name="properties">
      <xsd:complexType>
        <xsd:sequence>
          <xsd:element name="documentManagement">
            <xsd:complexType>
              <xsd:all>
                <xsd:element ref="ns3:MediaServiceMetadata" minOccurs="0"/>
                <xsd:element ref="ns3:MediaServiceFastMetadata" minOccurs="0"/>
                <xsd:element ref="ns3:MediaLengthInSeconds"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_activity"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c4a7ff-ac0c-43ae-af92-5dd144f40f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007c6b8-87a0-4d8b-8ecf-e3ec3909a94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8466F3-BA0E-4FD7-A7BB-287C9AD6D6D4}">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39c4a7ff-ac0c-43ae-af92-5dd144f40fa2"/>
    <ds:schemaRef ds:uri="http://purl.org/dc/elements/1.1/"/>
    <ds:schemaRef ds:uri="http://schemas.microsoft.com/office/2006/metadata/properties"/>
    <ds:schemaRef ds:uri="b007c6b8-87a0-4d8b-8ecf-e3ec3909a945"/>
    <ds:schemaRef ds:uri="http://www.w3.org/XML/1998/namespace"/>
  </ds:schemaRefs>
</ds:datastoreItem>
</file>

<file path=customXml/itemProps2.xml><?xml version="1.0" encoding="utf-8"?>
<ds:datastoreItem xmlns:ds="http://schemas.openxmlformats.org/officeDocument/2006/customXml" ds:itemID="{8EDDB017-6FAC-4F31-B7CD-37B5CC04828B}">
  <ds:schemaRefs>
    <ds:schemaRef ds:uri="http://schemas.microsoft.com/sharepoint/v3/contenttype/forms"/>
  </ds:schemaRefs>
</ds:datastoreItem>
</file>

<file path=customXml/itemProps3.xml><?xml version="1.0" encoding="utf-8"?>
<ds:datastoreItem xmlns:ds="http://schemas.openxmlformats.org/officeDocument/2006/customXml" ds:itemID="{822FA2EE-E5BE-4F8B-BD9D-7C1AFCC85A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c4a7ff-ac0c-43ae-af92-5dd144f40fa2"/>
    <ds:schemaRef ds:uri="b007c6b8-87a0-4d8b-8ecf-e3ec3909a9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Request</vt:lpstr>
      <vt:lpstr>Worksheet</vt:lpstr>
      <vt:lpstr>DropDown</vt:lpstr>
      <vt:lpstr>SalaryByMonthWorksheet</vt:lpstr>
      <vt:lpstr>CalculationTools</vt:lpstr>
      <vt:lpstr>Prelim-CostCalculation</vt:lpstr>
      <vt:lpstr>CalculationTools!Print_Area</vt:lpstr>
      <vt:lpstr>Worksheet!Print_Area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Farrelly, Kathy</dc:creator>
  <cp:lastModifiedBy>Zion, Heather</cp:lastModifiedBy>
  <cp:revision/>
  <cp:lastPrinted>2022-02-25T20:09:33Z</cp:lastPrinted>
  <dcterms:created xsi:type="dcterms:W3CDTF">2013-02-19T22:49:01Z</dcterms:created>
  <dcterms:modified xsi:type="dcterms:W3CDTF">2026-02-10T21:15:00Z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0x0101001C39BCF8C10C0F4DBE17E99B61C93E7A</vt:lpwstr>
  </property>
</Properties>
</file>